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405fb224c611ff6/Desktop/"/>
    </mc:Choice>
  </mc:AlternateContent>
  <xr:revisionPtr revIDLastSave="1" documentId="8_{7CF4E157-119D-423F-A3D5-883F6328EE2B}" xr6:coauthVersionLast="47" xr6:coauthVersionMax="47" xr10:uidLastSave="{97B81861-05CF-4317-9E51-84CA8D13AB16}"/>
  <bookViews>
    <workbookView xWindow="-120" yWindow="-120" windowWidth="29040" windowHeight="15720" xr2:uid="{00000000-000D-0000-FFFF-FFFF00000000}"/>
  </bookViews>
  <sheets>
    <sheet name="Budget vs. Actuals" sheetId="1" r:id="rId1"/>
  </sheets>
  <definedNames>
    <definedName name="_xlnm.Print_Titles" localSheetId="0">'Budget vs. Actuals'!$6:$6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00" i="1" l="1"/>
  <c r="BB17" i="1"/>
  <c r="AY100" i="1"/>
  <c r="BB46" i="1"/>
  <c r="BB49" i="1" s="1"/>
  <c r="AY49" i="1" s="1"/>
  <c r="BB79" i="1"/>
  <c r="BB78" i="1"/>
  <c r="BB80" i="1"/>
  <c r="BB70" i="1"/>
  <c r="BB65" i="1"/>
  <c r="BB66" i="1"/>
  <c r="BB67" i="1"/>
  <c r="BB71" i="1"/>
  <c r="AY71" i="1" s="1"/>
  <c r="BB68" i="1"/>
  <c r="BB121" i="1"/>
  <c r="AY121" i="1" s="1"/>
  <c r="BB91" i="1"/>
  <c r="AY91" i="1" s="1"/>
  <c r="BB96" i="1"/>
  <c r="BB105" i="1"/>
  <c r="AY105" i="1" s="1"/>
  <c r="AY96" i="1"/>
  <c r="BB110" i="1"/>
  <c r="AY110" i="1" s="1"/>
  <c r="BB115" i="1"/>
  <c r="AY115" i="1" s="1"/>
  <c r="BB61" i="1"/>
  <c r="BB64" i="1" s="1"/>
  <c r="AY64" i="1" s="1"/>
  <c r="BB51" i="1"/>
  <c r="BB54" i="1" s="1"/>
  <c r="AY54" i="1" s="1"/>
  <c r="BB42" i="1"/>
  <c r="BB43" i="1"/>
  <c r="BB41" i="1"/>
  <c r="BB44" i="1" s="1"/>
  <c r="AY44" i="1" s="1"/>
  <c r="BB86" i="1"/>
  <c r="AY86" i="1" s="1"/>
  <c r="BB76" i="1"/>
  <c r="AY76" i="1" s="1"/>
  <c r="BB37" i="1"/>
  <c r="BB36" i="1"/>
  <c r="BB39" i="1" s="1"/>
  <c r="AY39" i="1" s="1"/>
  <c r="BB34" i="1"/>
  <c r="AY34" i="1" s="1"/>
  <c r="BB16" i="1"/>
  <c r="BB15" i="1"/>
  <c r="BB81" i="1" l="1"/>
  <c r="AY81" i="1" s="1"/>
  <c r="BB19" i="1"/>
  <c r="BB26" i="1" l="1"/>
  <c r="BB29" i="1" s="1"/>
  <c r="AY29" i="1" s="1"/>
  <c r="BB56" i="1"/>
  <c r="BB59" i="1" s="1"/>
  <c r="BB21" i="1"/>
  <c r="AY19" i="1"/>
  <c r="BB24" i="1"/>
  <c r="AY24" i="1" s="1"/>
  <c r="AY59" i="1" l="1"/>
  <c r="BB122" i="1"/>
  <c r="BB9" i="1" l="1"/>
  <c r="BB8" i="1"/>
  <c r="BB12" i="1" l="1"/>
  <c r="AR121" i="1"/>
  <c r="AO121" i="1"/>
  <c r="AW120" i="1"/>
  <c r="AT120" i="1"/>
  <c r="AQ120" i="1"/>
  <c r="AL120" i="1"/>
  <c r="AN120" i="1" s="1"/>
  <c r="AK120" i="1"/>
  <c r="AH120" i="1"/>
  <c r="AJ120" i="1" s="1"/>
  <c r="AG120" i="1"/>
  <c r="AD120" i="1"/>
  <c r="AF120" i="1" s="1"/>
  <c r="AC120" i="1"/>
  <c r="Z120" i="1"/>
  <c r="AB120" i="1" s="1"/>
  <c r="Y120" i="1"/>
  <c r="V120" i="1"/>
  <c r="X120" i="1" s="1"/>
  <c r="U120" i="1"/>
  <c r="R120" i="1"/>
  <c r="T120" i="1" s="1"/>
  <c r="Q120" i="1"/>
  <c r="N120" i="1"/>
  <c r="M120" i="1"/>
  <c r="J120" i="1"/>
  <c r="L120" i="1" s="1"/>
  <c r="I120" i="1"/>
  <c r="F120" i="1"/>
  <c r="H120" i="1" s="1"/>
  <c r="E120" i="1"/>
  <c r="B120" i="1"/>
  <c r="D120" i="1" s="1"/>
  <c r="AS118" i="1"/>
  <c r="AP118" i="1"/>
  <c r="AM118" i="1"/>
  <c r="AL118" i="1"/>
  <c r="AI118" i="1"/>
  <c r="AH118" i="1"/>
  <c r="AE118" i="1"/>
  <c r="AD118" i="1"/>
  <c r="AA118" i="1"/>
  <c r="Z118" i="1"/>
  <c r="W118" i="1"/>
  <c r="V118" i="1"/>
  <c r="S118" i="1"/>
  <c r="R118" i="1"/>
  <c r="O118" i="1"/>
  <c r="N118" i="1"/>
  <c r="K118" i="1"/>
  <c r="J118" i="1"/>
  <c r="G118" i="1"/>
  <c r="F118" i="1"/>
  <c r="C118" i="1"/>
  <c r="B118" i="1"/>
  <c r="AS117" i="1"/>
  <c r="AT117" i="1" s="1"/>
  <c r="AP117" i="1"/>
  <c r="AQ117" i="1" s="1"/>
  <c r="AM117" i="1"/>
  <c r="AL117" i="1"/>
  <c r="AI117" i="1"/>
  <c r="AH117" i="1"/>
  <c r="AE117" i="1"/>
  <c r="AD117" i="1"/>
  <c r="AA117" i="1"/>
  <c r="Z117" i="1"/>
  <c r="W117" i="1"/>
  <c r="V117" i="1"/>
  <c r="S117" i="1"/>
  <c r="R117" i="1"/>
  <c r="O117" i="1"/>
  <c r="N117" i="1"/>
  <c r="K117" i="1"/>
  <c r="J117" i="1"/>
  <c r="G117" i="1"/>
  <c r="F117" i="1"/>
  <c r="C117" i="1"/>
  <c r="B117" i="1"/>
  <c r="AW116" i="1"/>
  <c r="AU116" i="1"/>
  <c r="AV116" i="1" s="1"/>
  <c r="AT116" i="1"/>
  <c r="AQ116" i="1"/>
  <c r="AN116" i="1"/>
  <c r="AK116" i="1"/>
  <c r="AJ116" i="1"/>
  <c r="AG116" i="1"/>
  <c r="AF116" i="1"/>
  <c r="AC116" i="1"/>
  <c r="AB116" i="1"/>
  <c r="Y116" i="1"/>
  <c r="X116" i="1"/>
  <c r="U116" i="1"/>
  <c r="T116" i="1"/>
  <c r="Q116" i="1"/>
  <c r="P116" i="1"/>
  <c r="M116" i="1"/>
  <c r="L116" i="1"/>
  <c r="I116" i="1"/>
  <c r="H116" i="1"/>
  <c r="E116" i="1"/>
  <c r="D116" i="1"/>
  <c r="AR115" i="1"/>
  <c r="AW114" i="1"/>
  <c r="AT114" i="1"/>
  <c r="AO115" i="1"/>
  <c r="AL114" i="1"/>
  <c r="AN114" i="1" s="1"/>
  <c r="AK114" i="1"/>
  <c r="AH114" i="1"/>
  <c r="AJ114" i="1" s="1"/>
  <c r="AG114" i="1"/>
  <c r="AD114" i="1"/>
  <c r="AF114" i="1" s="1"/>
  <c r="AC114" i="1"/>
  <c r="Z114" i="1"/>
  <c r="AB114" i="1" s="1"/>
  <c r="Y114" i="1"/>
  <c r="V114" i="1"/>
  <c r="X114" i="1" s="1"/>
  <c r="U114" i="1"/>
  <c r="R114" i="1"/>
  <c r="T114" i="1" s="1"/>
  <c r="Q114" i="1"/>
  <c r="N114" i="1"/>
  <c r="P114" i="1" s="1"/>
  <c r="M114" i="1"/>
  <c r="J114" i="1"/>
  <c r="L114" i="1" s="1"/>
  <c r="I114" i="1"/>
  <c r="F114" i="1"/>
  <c r="H114" i="1" s="1"/>
  <c r="E114" i="1"/>
  <c r="B114" i="1"/>
  <c r="AS113" i="1"/>
  <c r="AP113" i="1"/>
  <c r="AQ113" i="1" s="1"/>
  <c r="AM113" i="1"/>
  <c r="AL113" i="1"/>
  <c r="AI113" i="1"/>
  <c r="AH113" i="1"/>
  <c r="AE113" i="1"/>
  <c r="AD113" i="1"/>
  <c r="AA113" i="1"/>
  <c r="Z113" i="1"/>
  <c r="W113" i="1"/>
  <c r="V113" i="1"/>
  <c r="S113" i="1"/>
  <c r="R113" i="1"/>
  <c r="O113" i="1"/>
  <c r="N113" i="1"/>
  <c r="K113" i="1"/>
  <c r="J113" i="1"/>
  <c r="G113" i="1"/>
  <c r="F113" i="1"/>
  <c r="C113" i="1"/>
  <c r="B113" i="1"/>
  <c r="AS112" i="1"/>
  <c r="AP112" i="1"/>
  <c r="AM112" i="1"/>
  <c r="AL112" i="1"/>
  <c r="AI112" i="1"/>
  <c r="AH112" i="1"/>
  <c r="AE112" i="1"/>
  <c r="AD112" i="1"/>
  <c r="AA112" i="1"/>
  <c r="Z112" i="1"/>
  <c r="W112" i="1"/>
  <c r="V112" i="1"/>
  <c r="S112" i="1"/>
  <c r="R112" i="1"/>
  <c r="O112" i="1"/>
  <c r="N112" i="1"/>
  <c r="K112" i="1"/>
  <c r="J112" i="1"/>
  <c r="G112" i="1"/>
  <c r="F112" i="1"/>
  <c r="C112" i="1"/>
  <c r="B112" i="1"/>
  <c r="AW111" i="1"/>
  <c r="AU111" i="1"/>
  <c r="AV111" i="1" s="1"/>
  <c r="AT111" i="1"/>
  <c r="AQ111" i="1"/>
  <c r="AN111" i="1"/>
  <c r="AK111" i="1"/>
  <c r="AJ111" i="1"/>
  <c r="AG111" i="1"/>
  <c r="AF111" i="1"/>
  <c r="AC111" i="1"/>
  <c r="AB111" i="1"/>
  <c r="Y111" i="1"/>
  <c r="X111" i="1"/>
  <c r="U111" i="1"/>
  <c r="T111" i="1"/>
  <c r="Q111" i="1"/>
  <c r="P111" i="1"/>
  <c r="M111" i="1"/>
  <c r="L111" i="1"/>
  <c r="I111" i="1"/>
  <c r="H111" i="1"/>
  <c r="E111" i="1"/>
  <c r="D111" i="1"/>
  <c r="AR110" i="1"/>
  <c r="AO110" i="1"/>
  <c r="J110" i="1"/>
  <c r="F110" i="1"/>
  <c r="B110" i="1"/>
  <c r="AW109" i="1"/>
  <c r="AT109" i="1"/>
  <c r="AQ109" i="1"/>
  <c r="AL109" i="1"/>
  <c r="AN109" i="1" s="1"/>
  <c r="AK109" i="1"/>
  <c r="AH109" i="1"/>
  <c r="AJ109" i="1" s="1"/>
  <c r="AG109" i="1"/>
  <c r="AD109" i="1"/>
  <c r="AF109" i="1" s="1"/>
  <c r="AC109" i="1"/>
  <c r="Z109" i="1"/>
  <c r="AB109" i="1" s="1"/>
  <c r="Y109" i="1"/>
  <c r="V109" i="1"/>
  <c r="X109" i="1" s="1"/>
  <c r="U109" i="1"/>
  <c r="R109" i="1"/>
  <c r="T109" i="1" s="1"/>
  <c r="Q109" i="1"/>
  <c r="N109" i="1"/>
  <c r="P109" i="1" s="1"/>
  <c r="M109" i="1"/>
  <c r="L109" i="1"/>
  <c r="I109" i="1"/>
  <c r="H109" i="1"/>
  <c r="E109" i="1"/>
  <c r="D109" i="1"/>
  <c r="AS108" i="1"/>
  <c r="AP108" i="1"/>
  <c r="AM108" i="1"/>
  <c r="AL108" i="1"/>
  <c r="AI108" i="1"/>
  <c r="AH108" i="1"/>
  <c r="AE108" i="1"/>
  <c r="AD108" i="1"/>
  <c r="AA108" i="1"/>
  <c r="Z108" i="1"/>
  <c r="W108" i="1"/>
  <c r="V108" i="1"/>
  <c r="S108" i="1"/>
  <c r="R108" i="1"/>
  <c r="O108" i="1"/>
  <c r="N108" i="1"/>
  <c r="K108" i="1"/>
  <c r="M108" i="1" s="1"/>
  <c r="G108" i="1"/>
  <c r="H108" i="1" s="1"/>
  <c r="C108" i="1"/>
  <c r="AS107" i="1"/>
  <c r="AP107" i="1"/>
  <c r="AQ107" i="1" s="1"/>
  <c r="AM107" i="1"/>
  <c r="AL107" i="1"/>
  <c r="AI107" i="1"/>
  <c r="AH107" i="1"/>
  <c r="AJ107" i="1" s="1"/>
  <c r="AE107" i="1"/>
  <c r="AD107" i="1"/>
  <c r="AA107" i="1"/>
  <c r="Z107" i="1"/>
  <c r="W107" i="1"/>
  <c r="V107" i="1"/>
  <c r="S107" i="1"/>
  <c r="R107" i="1"/>
  <c r="O107" i="1"/>
  <c r="N107" i="1"/>
  <c r="K107" i="1"/>
  <c r="G107" i="1"/>
  <c r="C107" i="1"/>
  <c r="D107" i="1" s="1"/>
  <c r="AW106" i="1"/>
  <c r="AU106" i="1"/>
  <c r="AV106" i="1" s="1"/>
  <c r="AT106" i="1"/>
  <c r="AQ106" i="1"/>
  <c r="AN106" i="1"/>
  <c r="AK106" i="1"/>
  <c r="AJ106" i="1"/>
  <c r="AG106" i="1"/>
  <c r="AF106" i="1"/>
  <c r="AC106" i="1"/>
  <c r="AB106" i="1"/>
  <c r="Y106" i="1"/>
  <c r="X106" i="1"/>
  <c r="U106" i="1"/>
  <c r="T106" i="1"/>
  <c r="Q106" i="1"/>
  <c r="P106" i="1"/>
  <c r="M106" i="1"/>
  <c r="L106" i="1"/>
  <c r="I106" i="1"/>
  <c r="H106" i="1"/>
  <c r="E106" i="1"/>
  <c r="D106" i="1"/>
  <c r="AR105" i="1"/>
  <c r="F105" i="1"/>
  <c r="B105" i="1"/>
  <c r="AW104" i="1"/>
  <c r="AT104" i="1"/>
  <c r="AL104" i="1"/>
  <c r="AN104" i="1" s="1"/>
  <c r="AK104" i="1"/>
  <c r="AH104" i="1"/>
  <c r="AJ104" i="1" s="1"/>
  <c r="AG104" i="1"/>
  <c r="AD104" i="1"/>
  <c r="AF104" i="1" s="1"/>
  <c r="AC104" i="1"/>
  <c r="Z104" i="1"/>
  <c r="AB104" i="1" s="1"/>
  <c r="Y104" i="1"/>
  <c r="V104" i="1"/>
  <c r="X104" i="1" s="1"/>
  <c r="U104" i="1"/>
  <c r="R104" i="1"/>
  <c r="T104" i="1" s="1"/>
  <c r="Q104" i="1"/>
  <c r="N104" i="1"/>
  <c r="M104" i="1"/>
  <c r="J104" i="1"/>
  <c r="I104" i="1"/>
  <c r="H104" i="1"/>
  <c r="E104" i="1"/>
  <c r="D104" i="1"/>
  <c r="AS103" i="1"/>
  <c r="AP103" i="1"/>
  <c r="AQ103" i="1" s="1"/>
  <c r="AM103" i="1"/>
  <c r="AL103" i="1"/>
  <c r="AI103" i="1"/>
  <c r="AH103" i="1"/>
  <c r="AE103" i="1"/>
  <c r="AD103" i="1"/>
  <c r="AA103" i="1"/>
  <c r="Z103" i="1"/>
  <c r="W103" i="1"/>
  <c r="V103" i="1"/>
  <c r="S103" i="1"/>
  <c r="R103" i="1"/>
  <c r="O103" i="1"/>
  <c r="N103" i="1"/>
  <c r="K103" i="1"/>
  <c r="J103" i="1"/>
  <c r="G103" i="1"/>
  <c r="C103" i="1"/>
  <c r="D103" i="1" s="1"/>
  <c r="AS102" i="1"/>
  <c r="AP102" i="1"/>
  <c r="AM102" i="1"/>
  <c r="AL102" i="1"/>
  <c r="AI102" i="1"/>
  <c r="AH102" i="1"/>
  <c r="AE102" i="1"/>
  <c r="AD102" i="1"/>
  <c r="AA102" i="1"/>
  <c r="Z102" i="1"/>
  <c r="W102" i="1"/>
  <c r="V102" i="1"/>
  <c r="S102" i="1"/>
  <c r="R102" i="1"/>
  <c r="O102" i="1"/>
  <c r="N102" i="1"/>
  <c r="K102" i="1"/>
  <c r="J102" i="1"/>
  <c r="G102" i="1"/>
  <c r="I102" i="1" s="1"/>
  <c r="C102" i="1"/>
  <c r="AW101" i="1"/>
  <c r="AU101" i="1"/>
  <c r="AV101" i="1" s="1"/>
  <c r="AT101" i="1"/>
  <c r="AQ101" i="1"/>
  <c r="AN101" i="1"/>
  <c r="AK101" i="1"/>
  <c r="AJ101" i="1"/>
  <c r="AG101" i="1"/>
  <c r="AF101" i="1"/>
  <c r="AC101" i="1"/>
  <c r="AB101" i="1"/>
  <c r="Y101" i="1"/>
  <c r="X101" i="1"/>
  <c r="U101" i="1"/>
  <c r="T101" i="1"/>
  <c r="Q101" i="1"/>
  <c r="P101" i="1"/>
  <c r="M101" i="1"/>
  <c r="L101" i="1"/>
  <c r="I101" i="1"/>
  <c r="H101" i="1"/>
  <c r="E101" i="1"/>
  <c r="D101" i="1"/>
  <c r="AR100" i="1"/>
  <c r="AO100" i="1"/>
  <c r="AL100" i="1"/>
  <c r="AH100" i="1"/>
  <c r="AD100" i="1"/>
  <c r="Z100" i="1"/>
  <c r="V100" i="1"/>
  <c r="R100" i="1"/>
  <c r="N100" i="1"/>
  <c r="J100" i="1"/>
  <c r="F100" i="1"/>
  <c r="B100" i="1"/>
  <c r="AU99" i="1"/>
  <c r="AV99" i="1" s="1"/>
  <c r="AS99" i="1"/>
  <c r="AP99" i="1"/>
  <c r="AM99" i="1"/>
  <c r="AN99" i="1" s="1"/>
  <c r="AI99" i="1"/>
  <c r="AJ99" i="1" s="1"/>
  <c r="AE99" i="1"/>
  <c r="AG99" i="1" s="1"/>
  <c r="AA99" i="1"/>
  <c r="AC99" i="1" s="1"/>
  <c r="W99" i="1"/>
  <c r="S99" i="1"/>
  <c r="T99" i="1" s="1"/>
  <c r="O99" i="1"/>
  <c r="K99" i="1"/>
  <c r="M99" i="1" s="1"/>
  <c r="G99" i="1"/>
  <c r="I99" i="1" s="1"/>
  <c r="C99" i="1"/>
  <c r="AU98" i="1"/>
  <c r="AV98" i="1" s="1"/>
  <c r="AS98" i="1"/>
  <c r="AT98" i="1" s="1"/>
  <c r="AP98" i="1"/>
  <c r="AQ98" i="1" s="1"/>
  <c r="AM98" i="1"/>
  <c r="AN98" i="1" s="1"/>
  <c r="AI98" i="1"/>
  <c r="AJ98" i="1" s="1"/>
  <c r="AE98" i="1"/>
  <c r="AA98" i="1"/>
  <c r="AC98" i="1" s="1"/>
  <c r="W98" i="1"/>
  <c r="Y98" i="1" s="1"/>
  <c r="S98" i="1"/>
  <c r="O98" i="1"/>
  <c r="Q98" i="1" s="1"/>
  <c r="K98" i="1"/>
  <c r="G98" i="1"/>
  <c r="C98" i="1"/>
  <c r="AW97" i="1"/>
  <c r="AU97" i="1"/>
  <c r="AV97" i="1" s="1"/>
  <c r="AT97" i="1"/>
  <c r="AQ97" i="1"/>
  <c r="AN97" i="1"/>
  <c r="AK97" i="1"/>
  <c r="AJ97" i="1"/>
  <c r="AG97" i="1"/>
  <c r="AF97" i="1"/>
  <c r="AC97" i="1"/>
  <c r="AB97" i="1"/>
  <c r="Y97" i="1"/>
  <c r="X97" i="1"/>
  <c r="U97" i="1"/>
  <c r="T97" i="1"/>
  <c r="Q97" i="1"/>
  <c r="P97" i="1"/>
  <c r="M97" i="1"/>
  <c r="L97" i="1"/>
  <c r="I97" i="1"/>
  <c r="H97" i="1"/>
  <c r="E97" i="1"/>
  <c r="D97" i="1"/>
  <c r="AR96" i="1"/>
  <c r="AO96" i="1"/>
  <c r="AW95" i="1"/>
  <c r="AT95" i="1"/>
  <c r="AQ95" i="1"/>
  <c r="AL95" i="1"/>
  <c r="AN95" i="1" s="1"/>
  <c r="AK95" i="1"/>
  <c r="AH95" i="1"/>
  <c r="AJ95" i="1" s="1"/>
  <c r="AG95" i="1"/>
  <c r="AD95" i="1"/>
  <c r="AF95" i="1" s="1"/>
  <c r="AC95" i="1"/>
  <c r="Z95" i="1"/>
  <c r="AB95" i="1" s="1"/>
  <c r="Y95" i="1"/>
  <c r="V95" i="1"/>
  <c r="X95" i="1" s="1"/>
  <c r="U95" i="1"/>
  <c r="R95" i="1"/>
  <c r="T95" i="1" s="1"/>
  <c r="Q95" i="1"/>
  <c r="N95" i="1"/>
  <c r="P95" i="1" s="1"/>
  <c r="M95" i="1"/>
  <c r="J95" i="1"/>
  <c r="L95" i="1" s="1"/>
  <c r="I95" i="1"/>
  <c r="F95" i="1"/>
  <c r="H95" i="1" s="1"/>
  <c r="E95" i="1"/>
  <c r="B95" i="1"/>
  <c r="D95" i="1" s="1"/>
  <c r="AS94" i="1"/>
  <c r="AT94" i="1" s="1"/>
  <c r="AP94" i="1"/>
  <c r="AQ94" i="1" s="1"/>
  <c r="AM94" i="1"/>
  <c r="AL94" i="1"/>
  <c r="AI94" i="1"/>
  <c r="AH94" i="1"/>
  <c r="AE94" i="1"/>
  <c r="AD94" i="1"/>
  <c r="AA94" i="1"/>
  <c r="Z94" i="1"/>
  <c r="AC94" i="1" s="1"/>
  <c r="W94" i="1"/>
  <c r="V94" i="1"/>
  <c r="S94" i="1"/>
  <c r="R94" i="1"/>
  <c r="O94" i="1"/>
  <c r="N94" i="1"/>
  <c r="K94" i="1"/>
  <c r="J94" i="1"/>
  <c r="G94" i="1"/>
  <c r="F94" i="1"/>
  <c r="C94" i="1"/>
  <c r="B94" i="1"/>
  <c r="AS93" i="1"/>
  <c r="AP93" i="1"/>
  <c r="AM93" i="1"/>
  <c r="AL93" i="1"/>
  <c r="AI93" i="1"/>
  <c r="AH93" i="1"/>
  <c r="AE93" i="1"/>
  <c r="AD93" i="1"/>
  <c r="AA93" i="1"/>
  <c r="Z93" i="1"/>
  <c r="W93" i="1"/>
  <c r="V93" i="1"/>
  <c r="S93" i="1"/>
  <c r="R93" i="1"/>
  <c r="O93" i="1"/>
  <c r="N93" i="1"/>
  <c r="K93" i="1"/>
  <c r="J93" i="1"/>
  <c r="G93" i="1"/>
  <c r="F93" i="1"/>
  <c r="C93" i="1"/>
  <c r="B93" i="1"/>
  <c r="AW92" i="1"/>
  <c r="AU92" i="1"/>
  <c r="AV92" i="1" s="1"/>
  <c r="AT92" i="1"/>
  <c r="AQ92" i="1"/>
  <c r="AN92" i="1"/>
  <c r="AK92" i="1"/>
  <c r="AJ92" i="1"/>
  <c r="AG92" i="1"/>
  <c r="AF92" i="1"/>
  <c r="AC92" i="1"/>
  <c r="AB92" i="1"/>
  <c r="Y92" i="1"/>
  <c r="X92" i="1"/>
  <c r="U92" i="1"/>
  <c r="T92" i="1"/>
  <c r="Q92" i="1"/>
  <c r="P92" i="1"/>
  <c r="M92" i="1"/>
  <c r="L92" i="1"/>
  <c r="I92" i="1"/>
  <c r="H92" i="1"/>
  <c r="E92" i="1"/>
  <c r="D92" i="1"/>
  <c r="AR91" i="1"/>
  <c r="AO91" i="1"/>
  <c r="V91" i="1"/>
  <c r="R91" i="1"/>
  <c r="N91" i="1"/>
  <c r="J91" i="1"/>
  <c r="B91" i="1"/>
  <c r="AW90" i="1"/>
  <c r="AT90" i="1"/>
  <c r="AQ90" i="1"/>
  <c r="AL90" i="1"/>
  <c r="AN90" i="1" s="1"/>
  <c r="AK90" i="1"/>
  <c r="AH90" i="1"/>
  <c r="AG90" i="1"/>
  <c r="AD90" i="1"/>
  <c r="AF90" i="1" s="1"/>
  <c r="AC90" i="1"/>
  <c r="Z90" i="1"/>
  <c r="AB90" i="1" s="1"/>
  <c r="Y90" i="1"/>
  <c r="X90" i="1"/>
  <c r="U90" i="1"/>
  <c r="T90" i="1"/>
  <c r="Q90" i="1"/>
  <c r="P90" i="1"/>
  <c r="M90" i="1"/>
  <c r="L90" i="1"/>
  <c r="I90" i="1"/>
  <c r="F90" i="1"/>
  <c r="H90" i="1" s="1"/>
  <c r="E90" i="1"/>
  <c r="D90" i="1"/>
  <c r="AS89" i="1"/>
  <c r="AP89" i="1"/>
  <c r="AM89" i="1"/>
  <c r="AL89" i="1"/>
  <c r="AI89" i="1"/>
  <c r="AH89" i="1"/>
  <c r="AE89" i="1"/>
  <c r="AD89" i="1"/>
  <c r="AA89" i="1"/>
  <c r="Z89" i="1"/>
  <c r="W89" i="1"/>
  <c r="X89" i="1" s="1"/>
  <c r="S89" i="1"/>
  <c r="U89" i="1" s="1"/>
  <c r="O89" i="1"/>
  <c r="P89" i="1" s="1"/>
  <c r="K89" i="1"/>
  <c r="L89" i="1" s="1"/>
  <c r="G89" i="1"/>
  <c r="F89" i="1"/>
  <c r="C89" i="1"/>
  <c r="AS88" i="1"/>
  <c r="AP88" i="1"/>
  <c r="AM88" i="1"/>
  <c r="AL88" i="1"/>
  <c r="AI88" i="1"/>
  <c r="AH88" i="1"/>
  <c r="AJ88" i="1" s="1"/>
  <c r="AE88" i="1"/>
  <c r="AD88" i="1"/>
  <c r="AA88" i="1"/>
  <c r="Z88" i="1"/>
  <c r="W88" i="1"/>
  <c r="X88" i="1" s="1"/>
  <c r="S88" i="1"/>
  <c r="T88" i="1" s="1"/>
  <c r="O88" i="1"/>
  <c r="Q88" i="1" s="1"/>
  <c r="K88" i="1"/>
  <c r="M88" i="1" s="1"/>
  <c r="G88" i="1"/>
  <c r="F88" i="1"/>
  <c r="C88" i="1"/>
  <c r="E88" i="1" s="1"/>
  <c r="AW87" i="1"/>
  <c r="AU87" i="1"/>
  <c r="AV87" i="1" s="1"/>
  <c r="AT87" i="1"/>
  <c r="AQ87" i="1"/>
  <c r="AN87" i="1"/>
  <c r="AK87" i="1"/>
  <c r="AJ87" i="1"/>
  <c r="AG87" i="1"/>
  <c r="AF87" i="1"/>
  <c r="AC87" i="1"/>
  <c r="AB87" i="1"/>
  <c r="Y87" i="1"/>
  <c r="X87" i="1"/>
  <c r="U87" i="1"/>
  <c r="T87" i="1"/>
  <c r="Q87" i="1"/>
  <c r="P87" i="1"/>
  <c r="M87" i="1"/>
  <c r="L87" i="1"/>
  <c r="I87" i="1"/>
  <c r="H87" i="1"/>
  <c r="E87" i="1"/>
  <c r="D87" i="1"/>
  <c r="AS86" i="1"/>
  <c r="AR86" i="1"/>
  <c r="AP86" i="1"/>
  <c r="AO86" i="1"/>
  <c r="AM86" i="1"/>
  <c r="AL86" i="1"/>
  <c r="AI86" i="1"/>
  <c r="AK86" i="1" s="1"/>
  <c r="AH86" i="1"/>
  <c r="AE86" i="1"/>
  <c r="AG86" i="1" s="1"/>
  <c r="AD86" i="1"/>
  <c r="AA86" i="1"/>
  <c r="AC86" i="1" s="1"/>
  <c r="Z86" i="1"/>
  <c r="W86" i="1"/>
  <c r="Y86" i="1" s="1"/>
  <c r="S86" i="1"/>
  <c r="U86" i="1" s="1"/>
  <c r="O86" i="1"/>
  <c r="Q86" i="1" s="1"/>
  <c r="N86" i="1"/>
  <c r="K86" i="1"/>
  <c r="M86" i="1" s="1"/>
  <c r="J86" i="1"/>
  <c r="G86" i="1"/>
  <c r="I86" i="1" s="1"/>
  <c r="F86" i="1"/>
  <c r="C86" i="1"/>
  <c r="B86" i="1"/>
  <c r="AW85" i="1"/>
  <c r="AT85" i="1"/>
  <c r="AQ85" i="1"/>
  <c r="AN85" i="1"/>
  <c r="AK85" i="1"/>
  <c r="AJ85" i="1"/>
  <c r="AG85" i="1"/>
  <c r="AF85" i="1"/>
  <c r="AC85" i="1"/>
  <c r="AB85" i="1"/>
  <c r="Y85" i="1"/>
  <c r="V85" i="1"/>
  <c r="X85" i="1" s="1"/>
  <c r="U85" i="1"/>
  <c r="R85" i="1"/>
  <c r="Q85" i="1"/>
  <c r="P85" i="1"/>
  <c r="M85" i="1"/>
  <c r="L85" i="1"/>
  <c r="I85" i="1"/>
  <c r="H85" i="1"/>
  <c r="E85" i="1"/>
  <c r="D85" i="1"/>
  <c r="AW84" i="1"/>
  <c r="AT84" i="1"/>
  <c r="AQ84" i="1"/>
  <c r="AN84" i="1"/>
  <c r="AK84" i="1"/>
  <c r="AJ84" i="1"/>
  <c r="AG84" i="1"/>
  <c r="AF84" i="1"/>
  <c r="AC84" i="1"/>
  <c r="AB84" i="1"/>
  <c r="Y84" i="1"/>
  <c r="V84" i="1"/>
  <c r="U84" i="1"/>
  <c r="R84" i="1"/>
  <c r="Q84" i="1"/>
  <c r="P84" i="1"/>
  <c r="M84" i="1"/>
  <c r="L84" i="1"/>
  <c r="I84" i="1"/>
  <c r="H84" i="1"/>
  <c r="E84" i="1"/>
  <c r="D84" i="1"/>
  <c r="AW83" i="1"/>
  <c r="AT83" i="1"/>
  <c r="AQ83" i="1"/>
  <c r="AN83" i="1"/>
  <c r="AK83" i="1"/>
  <c r="AJ83" i="1"/>
  <c r="AG83" i="1"/>
  <c r="AF83" i="1"/>
  <c r="AC83" i="1"/>
  <c r="AB83" i="1"/>
  <c r="Y83" i="1"/>
  <c r="V83" i="1"/>
  <c r="X83" i="1" s="1"/>
  <c r="U83" i="1"/>
  <c r="R83" i="1"/>
  <c r="Q83" i="1"/>
  <c r="P83" i="1"/>
  <c r="M83" i="1"/>
  <c r="L83" i="1"/>
  <c r="I83" i="1"/>
  <c r="H83" i="1"/>
  <c r="E83" i="1"/>
  <c r="D83" i="1"/>
  <c r="AW82" i="1"/>
  <c r="AU82" i="1"/>
  <c r="AV82" i="1" s="1"/>
  <c r="AT82" i="1"/>
  <c r="AQ82" i="1"/>
  <c r="AN82" i="1"/>
  <c r="AK82" i="1"/>
  <c r="AJ82" i="1"/>
  <c r="AG82" i="1"/>
  <c r="AF82" i="1"/>
  <c r="AC82" i="1"/>
  <c r="AB82" i="1"/>
  <c r="Y82" i="1"/>
  <c r="X82" i="1"/>
  <c r="U82" i="1"/>
  <c r="T82" i="1"/>
  <c r="Q82" i="1"/>
  <c r="P82" i="1"/>
  <c r="M82" i="1"/>
  <c r="L82" i="1"/>
  <c r="I82" i="1"/>
  <c r="H82" i="1"/>
  <c r="E82" i="1"/>
  <c r="D82" i="1"/>
  <c r="AR81" i="1"/>
  <c r="AO81" i="1"/>
  <c r="AW80" i="1"/>
  <c r="AT80" i="1"/>
  <c r="AQ80" i="1"/>
  <c r="AL80" i="1"/>
  <c r="AN80" i="1" s="1"/>
  <c r="AK80" i="1"/>
  <c r="AH80" i="1"/>
  <c r="AJ80" i="1" s="1"/>
  <c r="AG80" i="1"/>
  <c r="AD80" i="1"/>
  <c r="AF80" i="1" s="1"/>
  <c r="AC80" i="1"/>
  <c r="Z80" i="1"/>
  <c r="AB80" i="1" s="1"/>
  <c r="Y80" i="1"/>
  <c r="V80" i="1"/>
  <c r="X80" i="1" s="1"/>
  <c r="U80" i="1"/>
  <c r="R80" i="1"/>
  <c r="T80" i="1" s="1"/>
  <c r="Q80" i="1"/>
  <c r="N80" i="1"/>
  <c r="P80" i="1" s="1"/>
  <c r="M80" i="1"/>
  <c r="J80" i="1"/>
  <c r="L80" i="1" s="1"/>
  <c r="I80" i="1"/>
  <c r="F80" i="1"/>
  <c r="H80" i="1" s="1"/>
  <c r="E80" i="1"/>
  <c r="B80" i="1"/>
  <c r="AS79" i="1"/>
  <c r="AT79" i="1" s="1"/>
  <c r="AP79" i="1"/>
  <c r="AM79" i="1"/>
  <c r="AL79" i="1"/>
  <c r="AI79" i="1"/>
  <c r="AH79" i="1"/>
  <c r="AE79" i="1"/>
  <c r="AD79" i="1"/>
  <c r="AA79" i="1"/>
  <c r="Z79" i="1"/>
  <c r="W79" i="1"/>
  <c r="V79" i="1"/>
  <c r="S79" i="1"/>
  <c r="R79" i="1"/>
  <c r="O79" i="1"/>
  <c r="N79" i="1"/>
  <c r="K79" i="1"/>
  <c r="J79" i="1"/>
  <c r="G79" i="1"/>
  <c r="F79" i="1"/>
  <c r="H79" i="1" s="1"/>
  <c r="C79" i="1"/>
  <c r="B79" i="1"/>
  <c r="AS78" i="1"/>
  <c r="AP78" i="1"/>
  <c r="AM78" i="1"/>
  <c r="AL78" i="1"/>
  <c r="AI78" i="1"/>
  <c r="AH78" i="1"/>
  <c r="AE78" i="1"/>
  <c r="AD78" i="1"/>
  <c r="AA78" i="1"/>
  <c r="Z78" i="1"/>
  <c r="AB78" i="1" s="1"/>
  <c r="W78" i="1"/>
  <c r="V78" i="1"/>
  <c r="X78" i="1" s="1"/>
  <c r="S78" i="1"/>
  <c r="R78" i="1"/>
  <c r="O78" i="1"/>
  <c r="N78" i="1"/>
  <c r="K78" i="1"/>
  <c r="J78" i="1"/>
  <c r="G78" i="1"/>
  <c r="F78" i="1"/>
  <c r="C78" i="1"/>
  <c r="B78" i="1"/>
  <c r="AW77" i="1"/>
  <c r="AU77" i="1"/>
  <c r="AX77" i="1" s="1"/>
  <c r="AT77" i="1"/>
  <c r="AQ77" i="1"/>
  <c r="AN77" i="1"/>
  <c r="AK77" i="1"/>
  <c r="AJ77" i="1"/>
  <c r="AG77" i="1"/>
  <c r="AF77" i="1"/>
  <c r="AC77" i="1"/>
  <c r="AB77" i="1"/>
  <c r="Y77" i="1"/>
  <c r="X77" i="1"/>
  <c r="U77" i="1"/>
  <c r="T77" i="1"/>
  <c r="Q77" i="1"/>
  <c r="P77" i="1"/>
  <c r="M77" i="1"/>
  <c r="L77" i="1"/>
  <c r="I77" i="1"/>
  <c r="H77" i="1"/>
  <c r="E77" i="1"/>
  <c r="D77" i="1"/>
  <c r="AR76" i="1"/>
  <c r="AO76" i="1"/>
  <c r="AW75" i="1"/>
  <c r="AT75" i="1"/>
  <c r="AQ75" i="1"/>
  <c r="AL75" i="1"/>
  <c r="AN75" i="1" s="1"/>
  <c r="AK75" i="1"/>
  <c r="AH75" i="1"/>
  <c r="AG75" i="1"/>
  <c r="AD75" i="1"/>
  <c r="AF75" i="1" s="1"/>
  <c r="AC75" i="1"/>
  <c r="Z75" i="1"/>
  <c r="AB75" i="1" s="1"/>
  <c r="Y75" i="1"/>
  <c r="V75" i="1"/>
  <c r="X75" i="1" s="1"/>
  <c r="U75" i="1"/>
  <c r="R75" i="1"/>
  <c r="T75" i="1" s="1"/>
  <c r="Q75" i="1"/>
  <c r="N75" i="1"/>
  <c r="M75" i="1"/>
  <c r="J75" i="1"/>
  <c r="L75" i="1" s="1"/>
  <c r="I75" i="1"/>
  <c r="F75" i="1"/>
  <c r="H75" i="1" s="1"/>
  <c r="E75" i="1"/>
  <c r="B75" i="1"/>
  <c r="D75" i="1" s="1"/>
  <c r="AS74" i="1"/>
  <c r="AP74" i="1"/>
  <c r="AM74" i="1"/>
  <c r="AL74" i="1"/>
  <c r="AI74" i="1"/>
  <c r="AH74" i="1"/>
  <c r="AE74" i="1"/>
  <c r="AD74" i="1"/>
  <c r="AA74" i="1"/>
  <c r="Z74" i="1"/>
  <c r="W74" i="1"/>
  <c r="V74" i="1"/>
  <c r="S74" i="1"/>
  <c r="R74" i="1"/>
  <c r="O74" i="1"/>
  <c r="N74" i="1"/>
  <c r="K74" i="1"/>
  <c r="J74" i="1"/>
  <c r="G74" i="1"/>
  <c r="F74" i="1"/>
  <c r="C74" i="1"/>
  <c r="B74" i="1"/>
  <c r="AS73" i="1"/>
  <c r="AP73" i="1"/>
  <c r="AQ73" i="1" s="1"/>
  <c r="AM73" i="1"/>
  <c r="AL73" i="1"/>
  <c r="AI73" i="1"/>
  <c r="AH73" i="1"/>
  <c r="AE73" i="1"/>
  <c r="AD73" i="1"/>
  <c r="AA73" i="1"/>
  <c r="Z73" i="1"/>
  <c r="W73" i="1"/>
  <c r="V73" i="1"/>
  <c r="S73" i="1"/>
  <c r="R73" i="1"/>
  <c r="O73" i="1"/>
  <c r="N73" i="1"/>
  <c r="K73" i="1"/>
  <c r="J73" i="1"/>
  <c r="G73" i="1"/>
  <c r="F73" i="1"/>
  <c r="C73" i="1"/>
  <c r="B73" i="1"/>
  <c r="AW72" i="1"/>
  <c r="AU72" i="1"/>
  <c r="AV72" i="1" s="1"/>
  <c r="AT72" i="1"/>
  <c r="AQ72" i="1"/>
  <c r="AN72" i="1"/>
  <c r="AK72" i="1"/>
  <c r="AJ72" i="1"/>
  <c r="AG72" i="1"/>
  <c r="AF72" i="1"/>
  <c r="AC72" i="1"/>
  <c r="AB72" i="1"/>
  <c r="Y72" i="1"/>
  <c r="X72" i="1"/>
  <c r="U72" i="1"/>
  <c r="T72" i="1"/>
  <c r="Q72" i="1"/>
  <c r="P72" i="1"/>
  <c r="M72" i="1"/>
  <c r="L72" i="1"/>
  <c r="I72" i="1"/>
  <c r="H72" i="1"/>
  <c r="E72" i="1"/>
  <c r="D72" i="1"/>
  <c r="AR71" i="1"/>
  <c r="AW70" i="1"/>
  <c r="AT70" i="1"/>
  <c r="AL70" i="1"/>
  <c r="AN70" i="1" s="1"/>
  <c r="AK70" i="1"/>
  <c r="AH70" i="1"/>
  <c r="AJ70" i="1" s="1"/>
  <c r="AG70" i="1"/>
  <c r="AD70" i="1"/>
  <c r="AF70" i="1" s="1"/>
  <c r="AC70" i="1"/>
  <c r="Z70" i="1"/>
  <c r="AB70" i="1" s="1"/>
  <c r="Y70" i="1"/>
  <c r="V70" i="1"/>
  <c r="X70" i="1" s="1"/>
  <c r="U70" i="1"/>
  <c r="R70" i="1"/>
  <c r="T70" i="1" s="1"/>
  <c r="Q70" i="1"/>
  <c r="N70" i="1"/>
  <c r="P70" i="1" s="1"/>
  <c r="M70" i="1"/>
  <c r="J70" i="1"/>
  <c r="L70" i="1" s="1"/>
  <c r="I70" i="1"/>
  <c r="F70" i="1"/>
  <c r="H70" i="1" s="1"/>
  <c r="E70" i="1"/>
  <c r="B70" i="1"/>
  <c r="AS67" i="1"/>
  <c r="AP67" i="1"/>
  <c r="AM67" i="1"/>
  <c r="AL67" i="1"/>
  <c r="AI67" i="1"/>
  <c r="AH67" i="1"/>
  <c r="AE67" i="1"/>
  <c r="AD67" i="1"/>
  <c r="AA67" i="1"/>
  <c r="Z67" i="1"/>
  <c r="W67" i="1"/>
  <c r="V67" i="1"/>
  <c r="S67" i="1"/>
  <c r="R67" i="1"/>
  <c r="O67" i="1"/>
  <c r="N67" i="1"/>
  <c r="K67" i="1"/>
  <c r="J67" i="1"/>
  <c r="G67" i="1"/>
  <c r="F67" i="1"/>
  <c r="C67" i="1"/>
  <c r="B67" i="1"/>
  <c r="AS66" i="1"/>
  <c r="AP66" i="1"/>
  <c r="AQ66" i="1" s="1"/>
  <c r="AM66" i="1"/>
  <c r="AL66" i="1"/>
  <c r="AI66" i="1"/>
  <c r="AH66" i="1"/>
  <c r="AE66" i="1"/>
  <c r="AD66" i="1"/>
  <c r="AA66" i="1"/>
  <c r="Z66" i="1"/>
  <c r="W66" i="1"/>
  <c r="V66" i="1"/>
  <c r="X66" i="1" s="1"/>
  <c r="S66" i="1"/>
  <c r="R66" i="1"/>
  <c r="O66" i="1"/>
  <c r="N66" i="1"/>
  <c r="K66" i="1"/>
  <c r="J66" i="1"/>
  <c r="G66" i="1"/>
  <c r="F66" i="1"/>
  <c r="C66" i="1"/>
  <c r="B66" i="1"/>
  <c r="AW65" i="1"/>
  <c r="AU65" i="1"/>
  <c r="AX65" i="1" s="1"/>
  <c r="AT65" i="1"/>
  <c r="AQ65" i="1"/>
  <c r="AN65" i="1"/>
  <c r="AK65" i="1"/>
  <c r="AJ65" i="1"/>
  <c r="AG65" i="1"/>
  <c r="AF65" i="1"/>
  <c r="AC65" i="1"/>
  <c r="AB65" i="1"/>
  <c r="Y65" i="1"/>
  <c r="X65" i="1"/>
  <c r="U65" i="1"/>
  <c r="T65" i="1"/>
  <c r="Q65" i="1"/>
  <c r="P65" i="1"/>
  <c r="M65" i="1"/>
  <c r="L65" i="1"/>
  <c r="I65" i="1"/>
  <c r="H65" i="1"/>
  <c r="E65" i="1"/>
  <c r="D65" i="1"/>
  <c r="AR64" i="1"/>
  <c r="AO64" i="1"/>
  <c r="AW63" i="1"/>
  <c r="AT63" i="1"/>
  <c r="AQ63" i="1"/>
  <c r="AL63" i="1"/>
  <c r="AN63" i="1" s="1"/>
  <c r="AK63" i="1"/>
  <c r="AH63" i="1"/>
  <c r="AJ63" i="1" s="1"/>
  <c r="AG63" i="1"/>
  <c r="AD63" i="1"/>
  <c r="AF63" i="1" s="1"/>
  <c r="AC63" i="1"/>
  <c r="Z63" i="1"/>
  <c r="AB63" i="1" s="1"/>
  <c r="Y63" i="1"/>
  <c r="V63" i="1"/>
  <c r="X63" i="1" s="1"/>
  <c r="U63" i="1"/>
  <c r="R63" i="1"/>
  <c r="T63" i="1" s="1"/>
  <c r="Q63" i="1"/>
  <c r="N63" i="1"/>
  <c r="P63" i="1" s="1"/>
  <c r="M63" i="1"/>
  <c r="J63" i="1"/>
  <c r="L63" i="1" s="1"/>
  <c r="I63" i="1"/>
  <c r="F63" i="1"/>
  <c r="E63" i="1"/>
  <c r="B63" i="1"/>
  <c r="D63" i="1" s="1"/>
  <c r="AS62" i="1"/>
  <c r="AP62" i="1"/>
  <c r="AM62" i="1"/>
  <c r="AL62" i="1"/>
  <c r="AI62" i="1"/>
  <c r="AH62" i="1"/>
  <c r="AE62" i="1"/>
  <c r="AD62" i="1"/>
  <c r="AF62" i="1" s="1"/>
  <c r="AA62" i="1"/>
  <c r="Z62" i="1"/>
  <c r="W62" i="1"/>
  <c r="V62" i="1"/>
  <c r="S62" i="1"/>
  <c r="R62" i="1"/>
  <c r="O62" i="1"/>
  <c r="N62" i="1"/>
  <c r="K62" i="1"/>
  <c r="J62" i="1"/>
  <c r="G62" i="1"/>
  <c r="F62" i="1"/>
  <c r="C62" i="1"/>
  <c r="B62" i="1"/>
  <c r="AS61" i="1"/>
  <c r="AT61" i="1" s="1"/>
  <c r="AP61" i="1"/>
  <c r="AM61" i="1"/>
  <c r="AL61" i="1"/>
  <c r="AI61" i="1"/>
  <c r="AH61" i="1"/>
  <c r="AE61" i="1"/>
  <c r="AD61" i="1"/>
  <c r="AA61" i="1"/>
  <c r="Z61" i="1"/>
  <c r="W61" i="1"/>
  <c r="V61" i="1"/>
  <c r="S61" i="1"/>
  <c r="R61" i="1"/>
  <c r="U61" i="1" s="1"/>
  <c r="O61" i="1"/>
  <c r="N61" i="1"/>
  <c r="K61" i="1"/>
  <c r="J61" i="1"/>
  <c r="G61" i="1"/>
  <c r="F61" i="1"/>
  <c r="C61" i="1"/>
  <c r="B61" i="1"/>
  <c r="AW60" i="1"/>
  <c r="AU60" i="1"/>
  <c r="AV60" i="1" s="1"/>
  <c r="AT60" i="1"/>
  <c r="AQ60" i="1"/>
  <c r="AN60" i="1"/>
  <c r="AK60" i="1"/>
  <c r="AJ60" i="1"/>
  <c r="AG60" i="1"/>
  <c r="AF60" i="1"/>
  <c r="AC60" i="1"/>
  <c r="AB60" i="1"/>
  <c r="Y60" i="1"/>
  <c r="X60" i="1"/>
  <c r="U60" i="1"/>
  <c r="T60" i="1"/>
  <c r="Q60" i="1"/>
  <c r="P60" i="1"/>
  <c r="M60" i="1"/>
  <c r="L60" i="1"/>
  <c r="I60" i="1"/>
  <c r="H60" i="1"/>
  <c r="E60" i="1"/>
  <c r="D60" i="1"/>
  <c r="AR59" i="1"/>
  <c r="AO59" i="1"/>
  <c r="AW58" i="1"/>
  <c r="AT58" i="1"/>
  <c r="AQ58" i="1"/>
  <c r="AL58" i="1"/>
  <c r="AN58" i="1" s="1"/>
  <c r="AK58" i="1"/>
  <c r="AH58" i="1"/>
  <c r="AJ58" i="1" s="1"/>
  <c r="AG58" i="1"/>
  <c r="AD58" i="1"/>
  <c r="AF58" i="1" s="1"/>
  <c r="AC58" i="1"/>
  <c r="Z58" i="1"/>
  <c r="AB58" i="1" s="1"/>
  <c r="Y58" i="1"/>
  <c r="V58" i="1"/>
  <c r="X58" i="1" s="1"/>
  <c r="U58" i="1"/>
  <c r="R58" i="1"/>
  <c r="T58" i="1" s="1"/>
  <c r="Q58" i="1"/>
  <c r="N58" i="1"/>
  <c r="P58" i="1" s="1"/>
  <c r="M58" i="1"/>
  <c r="J58" i="1"/>
  <c r="L58" i="1" s="1"/>
  <c r="I58" i="1"/>
  <c r="F58" i="1"/>
  <c r="H58" i="1" s="1"/>
  <c r="E58" i="1"/>
  <c r="B58" i="1"/>
  <c r="D58" i="1" s="1"/>
  <c r="AS57" i="1"/>
  <c r="AP57" i="1"/>
  <c r="AQ57" i="1" s="1"/>
  <c r="AM57" i="1"/>
  <c r="AL57" i="1"/>
  <c r="AI57" i="1"/>
  <c r="AH57" i="1"/>
  <c r="AE57" i="1"/>
  <c r="AD57" i="1"/>
  <c r="AA57" i="1"/>
  <c r="Z57" i="1"/>
  <c r="W57" i="1"/>
  <c r="V57" i="1"/>
  <c r="S57" i="1"/>
  <c r="R57" i="1"/>
  <c r="O57" i="1"/>
  <c r="N57" i="1"/>
  <c r="K57" i="1"/>
  <c r="J57" i="1"/>
  <c r="G57" i="1"/>
  <c r="F57" i="1"/>
  <c r="C57" i="1"/>
  <c r="B57" i="1"/>
  <c r="AS56" i="1"/>
  <c r="AT56" i="1" s="1"/>
  <c r="AP56" i="1"/>
  <c r="AM56" i="1"/>
  <c r="AL56" i="1"/>
  <c r="AI56" i="1"/>
  <c r="AH56" i="1"/>
  <c r="AE56" i="1"/>
  <c r="AD56" i="1"/>
  <c r="AA56" i="1"/>
  <c r="Z56" i="1"/>
  <c r="W56" i="1"/>
  <c r="W59" i="1" s="1"/>
  <c r="V56" i="1"/>
  <c r="S56" i="1"/>
  <c r="R56" i="1"/>
  <c r="O56" i="1"/>
  <c r="N56" i="1"/>
  <c r="K56" i="1"/>
  <c r="J56" i="1"/>
  <c r="G56" i="1"/>
  <c r="F56" i="1"/>
  <c r="C56" i="1"/>
  <c r="B56" i="1"/>
  <c r="AW55" i="1"/>
  <c r="AU55" i="1"/>
  <c r="AV55" i="1" s="1"/>
  <c r="AT55" i="1"/>
  <c r="AQ55" i="1"/>
  <c r="AN55" i="1"/>
  <c r="AK55" i="1"/>
  <c r="AJ55" i="1"/>
  <c r="AG55" i="1"/>
  <c r="AF55" i="1"/>
  <c r="AC55" i="1"/>
  <c r="AB55" i="1"/>
  <c r="Y55" i="1"/>
  <c r="X55" i="1"/>
  <c r="U55" i="1"/>
  <c r="T55" i="1"/>
  <c r="Q55" i="1"/>
  <c r="P55" i="1"/>
  <c r="M55" i="1"/>
  <c r="L55" i="1"/>
  <c r="I55" i="1"/>
  <c r="H55" i="1"/>
  <c r="E55" i="1"/>
  <c r="D55" i="1"/>
  <c r="AR54" i="1"/>
  <c r="AO54" i="1"/>
  <c r="AW53" i="1"/>
  <c r="AT53" i="1"/>
  <c r="AQ53" i="1"/>
  <c r="AL53" i="1"/>
  <c r="AN53" i="1" s="1"/>
  <c r="AK53" i="1"/>
  <c r="AH53" i="1"/>
  <c r="AJ53" i="1" s="1"/>
  <c r="AG53" i="1"/>
  <c r="AD53" i="1"/>
  <c r="AC53" i="1"/>
  <c r="Z53" i="1"/>
  <c r="AB53" i="1" s="1"/>
  <c r="Y53" i="1"/>
  <c r="V53" i="1"/>
  <c r="X53" i="1" s="1"/>
  <c r="U53" i="1"/>
  <c r="R53" i="1"/>
  <c r="T53" i="1" s="1"/>
  <c r="Q53" i="1"/>
  <c r="N53" i="1"/>
  <c r="P53" i="1" s="1"/>
  <c r="M53" i="1"/>
  <c r="J53" i="1"/>
  <c r="L53" i="1" s="1"/>
  <c r="I53" i="1"/>
  <c r="F53" i="1"/>
  <c r="H53" i="1" s="1"/>
  <c r="E53" i="1"/>
  <c r="B53" i="1"/>
  <c r="D53" i="1" s="1"/>
  <c r="AS52" i="1"/>
  <c r="AP52" i="1"/>
  <c r="AQ52" i="1" s="1"/>
  <c r="AM52" i="1"/>
  <c r="AL52" i="1"/>
  <c r="AI52" i="1"/>
  <c r="AH52" i="1"/>
  <c r="AE52" i="1"/>
  <c r="AD52" i="1"/>
  <c r="AA52" i="1"/>
  <c r="Z52" i="1"/>
  <c r="AB52" i="1" s="1"/>
  <c r="W52" i="1"/>
  <c r="V52" i="1"/>
  <c r="S52" i="1"/>
  <c r="R52" i="1"/>
  <c r="O52" i="1"/>
  <c r="N52" i="1"/>
  <c r="K52" i="1"/>
  <c r="J52" i="1"/>
  <c r="L52" i="1" s="1"/>
  <c r="G52" i="1"/>
  <c r="F52" i="1"/>
  <c r="C52" i="1"/>
  <c r="B52" i="1"/>
  <c r="AS51" i="1"/>
  <c r="AP51" i="1"/>
  <c r="AM51" i="1"/>
  <c r="AL51" i="1"/>
  <c r="AI51" i="1"/>
  <c r="AH51" i="1"/>
  <c r="AE51" i="1"/>
  <c r="AD51" i="1"/>
  <c r="AA51" i="1"/>
  <c r="Z51" i="1"/>
  <c r="W51" i="1"/>
  <c r="V51" i="1"/>
  <c r="S51" i="1"/>
  <c r="R51" i="1"/>
  <c r="O51" i="1"/>
  <c r="N51" i="1"/>
  <c r="K51" i="1"/>
  <c r="J51" i="1"/>
  <c r="G51" i="1"/>
  <c r="F51" i="1"/>
  <c r="C51" i="1"/>
  <c r="B51" i="1"/>
  <c r="AW50" i="1"/>
  <c r="AU50" i="1"/>
  <c r="AX50" i="1" s="1"/>
  <c r="AT50" i="1"/>
  <c r="AQ50" i="1"/>
  <c r="AN50" i="1"/>
  <c r="AK50" i="1"/>
  <c r="AJ50" i="1"/>
  <c r="AG50" i="1"/>
  <c r="AF50" i="1"/>
  <c r="AC50" i="1"/>
  <c r="AB50" i="1"/>
  <c r="Y50" i="1"/>
  <c r="X50" i="1"/>
  <c r="U50" i="1"/>
  <c r="T50" i="1"/>
  <c r="Q50" i="1"/>
  <c r="P50" i="1"/>
  <c r="M50" i="1"/>
  <c r="L50" i="1"/>
  <c r="I50" i="1"/>
  <c r="H50" i="1"/>
  <c r="E50" i="1"/>
  <c r="D50" i="1"/>
  <c r="AR49" i="1"/>
  <c r="AO49" i="1"/>
  <c r="AW48" i="1"/>
  <c r="AT48" i="1"/>
  <c r="AQ48" i="1"/>
  <c r="AL48" i="1"/>
  <c r="AN48" i="1" s="1"/>
  <c r="AK48" i="1"/>
  <c r="AH48" i="1"/>
  <c r="AJ48" i="1" s="1"/>
  <c r="AG48" i="1"/>
  <c r="AD48" i="1"/>
  <c r="AC48" i="1"/>
  <c r="Z48" i="1"/>
  <c r="AB48" i="1" s="1"/>
  <c r="Y48" i="1"/>
  <c r="V48" i="1"/>
  <c r="X48" i="1" s="1"/>
  <c r="U48" i="1"/>
  <c r="R48" i="1"/>
  <c r="T48" i="1" s="1"/>
  <c r="Q48" i="1"/>
  <c r="N48" i="1"/>
  <c r="M48" i="1"/>
  <c r="J48" i="1"/>
  <c r="L48" i="1" s="1"/>
  <c r="I48" i="1"/>
  <c r="F48" i="1"/>
  <c r="H48" i="1" s="1"/>
  <c r="E48" i="1"/>
  <c r="B48" i="1"/>
  <c r="D48" i="1" s="1"/>
  <c r="AS47" i="1"/>
  <c r="AP47" i="1"/>
  <c r="AM47" i="1"/>
  <c r="AL47" i="1"/>
  <c r="AI47" i="1"/>
  <c r="AH47" i="1"/>
  <c r="AE47" i="1"/>
  <c r="AD47" i="1"/>
  <c r="AA47" i="1"/>
  <c r="Z47" i="1"/>
  <c r="W47" i="1"/>
  <c r="V47" i="1"/>
  <c r="S47" i="1"/>
  <c r="R47" i="1"/>
  <c r="O47" i="1"/>
  <c r="N47" i="1"/>
  <c r="K47" i="1"/>
  <c r="J47" i="1"/>
  <c r="G47" i="1"/>
  <c r="F47" i="1"/>
  <c r="C47" i="1"/>
  <c r="B47" i="1"/>
  <c r="AS46" i="1"/>
  <c r="AP46" i="1"/>
  <c r="AM46" i="1"/>
  <c r="AL46" i="1"/>
  <c r="AI46" i="1"/>
  <c r="AH46" i="1"/>
  <c r="AE46" i="1"/>
  <c r="AD46" i="1"/>
  <c r="AA46" i="1"/>
  <c r="Z46" i="1"/>
  <c r="W46" i="1"/>
  <c r="V46" i="1"/>
  <c r="S46" i="1"/>
  <c r="R46" i="1"/>
  <c r="O46" i="1"/>
  <c r="N46" i="1"/>
  <c r="K46" i="1"/>
  <c r="J46" i="1"/>
  <c r="G46" i="1"/>
  <c r="F46" i="1"/>
  <c r="C46" i="1"/>
  <c r="B46" i="1"/>
  <c r="AW45" i="1"/>
  <c r="AU45" i="1"/>
  <c r="AV45" i="1" s="1"/>
  <c r="AT45" i="1"/>
  <c r="AQ45" i="1"/>
  <c r="AN45" i="1"/>
  <c r="AK45" i="1"/>
  <c r="AJ45" i="1"/>
  <c r="AG45" i="1"/>
  <c r="AF45" i="1"/>
  <c r="AC45" i="1"/>
  <c r="AB45" i="1"/>
  <c r="Y45" i="1"/>
  <c r="X45" i="1"/>
  <c r="U45" i="1"/>
  <c r="T45" i="1"/>
  <c r="Q45" i="1"/>
  <c r="P45" i="1"/>
  <c r="M45" i="1"/>
  <c r="L45" i="1"/>
  <c r="I45" i="1"/>
  <c r="H45" i="1"/>
  <c r="E45" i="1"/>
  <c r="D45" i="1"/>
  <c r="AR44" i="1"/>
  <c r="AO44" i="1"/>
  <c r="AW43" i="1"/>
  <c r="AT43" i="1"/>
  <c r="AQ43" i="1"/>
  <c r="AL43" i="1"/>
  <c r="AN43" i="1" s="1"/>
  <c r="AK43" i="1"/>
  <c r="AH43" i="1"/>
  <c r="AJ43" i="1" s="1"/>
  <c r="AG43" i="1"/>
  <c r="AD43" i="1"/>
  <c r="AF43" i="1" s="1"/>
  <c r="AC43" i="1"/>
  <c r="Z43" i="1"/>
  <c r="Y43" i="1"/>
  <c r="V43" i="1"/>
  <c r="X43" i="1" s="1"/>
  <c r="U43" i="1"/>
  <c r="R43" i="1"/>
  <c r="T43" i="1" s="1"/>
  <c r="Q43" i="1"/>
  <c r="N43" i="1"/>
  <c r="P43" i="1" s="1"/>
  <c r="M43" i="1"/>
  <c r="J43" i="1"/>
  <c r="L43" i="1" s="1"/>
  <c r="I43" i="1"/>
  <c r="F43" i="1"/>
  <c r="H43" i="1" s="1"/>
  <c r="E43" i="1"/>
  <c r="B43" i="1"/>
  <c r="D43" i="1" s="1"/>
  <c r="AS42" i="1"/>
  <c r="AP42" i="1"/>
  <c r="AM42" i="1"/>
  <c r="AL42" i="1"/>
  <c r="AI42" i="1"/>
  <c r="AH42" i="1"/>
  <c r="AE42" i="1"/>
  <c r="AD42" i="1"/>
  <c r="AA42" i="1"/>
  <c r="Z42" i="1"/>
  <c r="W42" i="1"/>
  <c r="V42" i="1"/>
  <c r="S42" i="1"/>
  <c r="R42" i="1"/>
  <c r="O42" i="1"/>
  <c r="N42" i="1"/>
  <c r="K42" i="1"/>
  <c r="J42" i="1"/>
  <c r="L42" i="1" s="1"/>
  <c r="G42" i="1"/>
  <c r="F42" i="1"/>
  <c r="C42" i="1"/>
  <c r="B42" i="1"/>
  <c r="AS41" i="1"/>
  <c r="AP41" i="1"/>
  <c r="AM41" i="1"/>
  <c r="AL41" i="1"/>
  <c r="AI41" i="1"/>
  <c r="AH41" i="1"/>
  <c r="AE41" i="1"/>
  <c r="AD41" i="1"/>
  <c r="AA41" i="1"/>
  <c r="Z41" i="1"/>
  <c r="W41" i="1"/>
  <c r="V41" i="1"/>
  <c r="S41" i="1"/>
  <c r="R41" i="1"/>
  <c r="O41" i="1"/>
  <c r="N41" i="1"/>
  <c r="K41" i="1"/>
  <c r="J41" i="1"/>
  <c r="G41" i="1"/>
  <c r="F41" i="1"/>
  <c r="C41" i="1"/>
  <c r="B41" i="1"/>
  <c r="AW40" i="1"/>
  <c r="AU40" i="1"/>
  <c r="AV40" i="1" s="1"/>
  <c r="AT40" i="1"/>
  <c r="AQ40" i="1"/>
  <c r="AN40" i="1"/>
  <c r="AK40" i="1"/>
  <c r="AJ40" i="1"/>
  <c r="AG40" i="1"/>
  <c r="AF40" i="1"/>
  <c r="AC40" i="1"/>
  <c r="AB40" i="1"/>
  <c r="Y40" i="1"/>
  <c r="X40" i="1"/>
  <c r="U40" i="1"/>
  <c r="T40" i="1"/>
  <c r="Q40" i="1"/>
  <c r="P40" i="1"/>
  <c r="M40" i="1"/>
  <c r="L40" i="1"/>
  <c r="I40" i="1"/>
  <c r="H40" i="1"/>
  <c r="E40" i="1"/>
  <c r="D40" i="1"/>
  <c r="AR39" i="1"/>
  <c r="AW38" i="1"/>
  <c r="AT38" i="1"/>
  <c r="AO39" i="1"/>
  <c r="AL38" i="1"/>
  <c r="AN38" i="1" s="1"/>
  <c r="AK38" i="1"/>
  <c r="AH38" i="1"/>
  <c r="AJ38" i="1" s="1"/>
  <c r="AG38" i="1"/>
  <c r="AD38" i="1"/>
  <c r="AF38" i="1" s="1"/>
  <c r="AC38" i="1"/>
  <c r="Z38" i="1"/>
  <c r="AB38" i="1" s="1"/>
  <c r="Y38" i="1"/>
  <c r="V38" i="1"/>
  <c r="X38" i="1" s="1"/>
  <c r="U38" i="1"/>
  <c r="R38" i="1"/>
  <c r="T38" i="1" s="1"/>
  <c r="Q38" i="1"/>
  <c r="N38" i="1"/>
  <c r="P38" i="1" s="1"/>
  <c r="M38" i="1"/>
  <c r="J38" i="1"/>
  <c r="L38" i="1" s="1"/>
  <c r="I38" i="1"/>
  <c r="F38" i="1"/>
  <c r="H38" i="1" s="1"/>
  <c r="E38" i="1"/>
  <c r="B38" i="1"/>
  <c r="D38" i="1" s="1"/>
  <c r="AS37" i="1"/>
  <c r="AP37" i="1"/>
  <c r="AQ37" i="1" s="1"/>
  <c r="AM37" i="1"/>
  <c r="AL37" i="1"/>
  <c r="AI37" i="1"/>
  <c r="AH37" i="1"/>
  <c r="AE37" i="1"/>
  <c r="AD37" i="1"/>
  <c r="AA37" i="1"/>
  <c r="Z37" i="1"/>
  <c r="W37" i="1"/>
  <c r="V37" i="1"/>
  <c r="S37" i="1"/>
  <c r="R37" i="1"/>
  <c r="O37" i="1"/>
  <c r="N37" i="1"/>
  <c r="K37" i="1"/>
  <c r="J37" i="1"/>
  <c r="G37" i="1"/>
  <c r="F37" i="1"/>
  <c r="C37" i="1"/>
  <c r="B37" i="1"/>
  <c r="AS36" i="1"/>
  <c r="AP36" i="1"/>
  <c r="AM36" i="1"/>
  <c r="AL36" i="1"/>
  <c r="AI36" i="1"/>
  <c r="AH36" i="1"/>
  <c r="AE36" i="1"/>
  <c r="AD36" i="1"/>
  <c r="AA36" i="1"/>
  <c r="Z36" i="1"/>
  <c r="W36" i="1"/>
  <c r="V36" i="1"/>
  <c r="S36" i="1"/>
  <c r="R36" i="1"/>
  <c r="O36" i="1"/>
  <c r="N36" i="1"/>
  <c r="P36" i="1" s="1"/>
  <c r="K36" i="1"/>
  <c r="J36" i="1"/>
  <c r="G36" i="1"/>
  <c r="F36" i="1"/>
  <c r="C36" i="1"/>
  <c r="B36" i="1"/>
  <c r="AW35" i="1"/>
  <c r="AU35" i="1"/>
  <c r="AX35" i="1" s="1"/>
  <c r="AT35" i="1"/>
  <c r="AQ35" i="1"/>
  <c r="AN35" i="1"/>
  <c r="AK35" i="1"/>
  <c r="AJ35" i="1"/>
  <c r="AG35" i="1"/>
  <c r="AF35" i="1"/>
  <c r="AC35" i="1"/>
  <c r="AB35" i="1"/>
  <c r="Y35" i="1"/>
  <c r="X35" i="1"/>
  <c r="U35" i="1"/>
  <c r="T35" i="1"/>
  <c r="Q35" i="1"/>
  <c r="P35" i="1"/>
  <c r="M35" i="1"/>
  <c r="L35" i="1"/>
  <c r="I35" i="1"/>
  <c r="H35" i="1"/>
  <c r="E35" i="1"/>
  <c r="D35" i="1"/>
  <c r="AR34" i="1"/>
  <c r="AO34" i="1"/>
  <c r="AW33" i="1"/>
  <c r="AT33" i="1"/>
  <c r="AQ33" i="1"/>
  <c r="AL33" i="1"/>
  <c r="AN33" i="1" s="1"/>
  <c r="AK33" i="1"/>
  <c r="AH33" i="1"/>
  <c r="AJ33" i="1" s="1"/>
  <c r="AG33" i="1"/>
  <c r="AD33" i="1"/>
  <c r="AF33" i="1" s="1"/>
  <c r="AC33" i="1"/>
  <c r="Z33" i="1"/>
  <c r="AB33" i="1" s="1"/>
  <c r="Y33" i="1"/>
  <c r="V33" i="1"/>
  <c r="X33" i="1" s="1"/>
  <c r="U33" i="1"/>
  <c r="R33" i="1"/>
  <c r="Q33" i="1"/>
  <c r="N33" i="1"/>
  <c r="P33" i="1" s="1"/>
  <c r="M33" i="1"/>
  <c r="J33" i="1"/>
  <c r="L33" i="1" s="1"/>
  <c r="I33" i="1"/>
  <c r="F33" i="1"/>
  <c r="H33" i="1" s="1"/>
  <c r="E33" i="1"/>
  <c r="B33" i="1"/>
  <c r="AS32" i="1"/>
  <c r="AP32" i="1"/>
  <c r="AM32" i="1"/>
  <c r="AL32" i="1"/>
  <c r="AI32" i="1"/>
  <c r="AH32" i="1"/>
  <c r="AE32" i="1"/>
  <c r="AD32" i="1"/>
  <c r="AA32" i="1"/>
  <c r="Z32" i="1"/>
  <c r="W32" i="1"/>
  <c r="V32" i="1"/>
  <c r="S32" i="1"/>
  <c r="R32" i="1"/>
  <c r="O32" i="1"/>
  <c r="N32" i="1"/>
  <c r="K32" i="1"/>
  <c r="G32" i="1"/>
  <c r="H32" i="1" s="1"/>
  <c r="C32" i="1"/>
  <c r="D32" i="1" s="1"/>
  <c r="AS31" i="1"/>
  <c r="AP31" i="1"/>
  <c r="AM31" i="1"/>
  <c r="AL31" i="1"/>
  <c r="AI31" i="1"/>
  <c r="AH31" i="1"/>
  <c r="AE31" i="1"/>
  <c r="AD31" i="1"/>
  <c r="AA31" i="1"/>
  <c r="Z31" i="1"/>
  <c r="W31" i="1"/>
  <c r="V31" i="1"/>
  <c r="S31" i="1"/>
  <c r="R31" i="1"/>
  <c r="O31" i="1"/>
  <c r="N31" i="1"/>
  <c r="K31" i="1"/>
  <c r="M31" i="1" s="1"/>
  <c r="G31" i="1"/>
  <c r="I31" i="1" s="1"/>
  <c r="C31" i="1"/>
  <c r="E31" i="1" s="1"/>
  <c r="AW30" i="1"/>
  <c r="AU30" i="1"/>
  <c r="AV30" i="1" s="1"/>
  <c r="AT30" i="1"/>
  <c r="AQ30" i="1"/>
  <c r="AN30" i="1"/>
  <c r="AK30" i="1"/>
  <c r="AJ30" i="1"/>
  <c r="AG30" i="1"/>
  <c r="AF30" i="1"/>
  <c r="AC30" i="1"/>
  <c r="AB30" i="1"/>
  <c r="Y30" i="1"/>
  <c r="X30" i="1"/>
  <c r="U30" i="1"/>
  <c r="T30" i="1"/>
  <c r="Q30" i="1"/>
  <c r="P30" i="1"/>
  <c r="M30" i="1"/>
  <c r="L30" i="1"/>
  <c r="I30" i="1"/>
  <c r="H30" i="1"/>
  <c r="E30" i="1"/>
  <c r="D30" i="1"/>
  <c r="AR29" i="1"/>
  <c r="AO29" i="1"/>
  <c r="AW28" i="1"/>
  <c r="AT28" i="1"/>
  <c r="AQ28" i="1"/>
  <c r="AL28" i="1"/>
  <c r="AN28" i="1" s="1"/>
  <c r="AK28" i="1"/>
  <c r="AH28" i="1"/>
  <c r="AJ28" i="1" s="1"/>
  <c r="AG28" i="1"/>
  <c r="AD28" i="1"/>
  <c r="AF28" i="1" s="1"/>
  <c r="AC28" i="1"/>
  <c r="Z28" i="1"/>
  <c r="AB28" i="1" s="1"/>
  <c r="Y28" i="1"/>
  <c r="V28" i="1"/>
  <c r="X28" i="1" s="1"/>
  <c r="U28" i="1"/>
  <c r="R28" i="1"/>
  <c r="T28" i="1" s="1"/>
  <c r="Q28" i="1"/>
  <c r="N28" i="1"/>
  <c r="P28" i="1" s="1"/>
  <c r="M28" i="1"/>
  <c r="J28" i="1"/>
  <c r="L28" i="1" s="1"/>
  <c r="I28" i="1"/>
  <c r="F28" i="1"/>
  <c r="E28" i="1"/>
  <c r="B28" i="1"/>
  <c r="D28" i="1" s="1"/>
  <c r="AS27" i="1"/>
  <c r="AP27" i="1"/>
  <c r="AM27" i="1"/>
  <c r="AL27" i="1"/>
  <c r="AN27" i="1" s="1"/>
  <c r="AI27" i="1"/>
  <c r="AH27" i="1"/>
  <c r="AE27" i="1"/>
  <c r="AD27" i="1"/>
  <c r="AA27" i="1"/>
  <c r="Z27" i="1"/>
  <c r="W27" i="1"/>
  <c r="V27" i="1"/>
  <c r="S27" i="1"/>
  <c r="R27" i="1"/>
  <c r="O27" i="1"/>
  <c r="N27" i="1"/>
  <c r="P27" i="1" s="1"/>
  <c r="K27" i="1"/>
  <c r="J27" i="1"/>
  <c r="G27" i="1"/>
  <c r="F27" i="1"/>
  <c r="C27" i="1"/>
  <c r="B27" i="1"/>
  <c r="AS26" i="1"/>
  <c r="AP26" i="1"/>
  <c r="AM26" i="1"/>
  <c r="AL26" i="1"/>
  <c r="AI26" i="1"/>
  <c r="AH26" i="1"/>
  <c r="AE26" i="1"/>
  <c r="AD26" i="1"/>
  <c r="AA26" i="1"/>
  <c r="Z26" i="1"/>
  <c r="W26" i="1"/>
  <c r="V26" i="1"/>
  <c r="S26" i="1"/>
  <c r="R26" i="1"/>
  <c r="O26" i="1"/>
  <c r="N26" i="1"/>
  <c r="K26" i="1"/>
  <c r="J26" i="1"/>
  <c r="G26" i="1"/>
  <c r="F26" i="1"/>
  <c r="H26" i="1" s="1"/>
  <c r="C26" i="1"/>
  <c r="B26" i="1"/>
  <c r="AW25" i="1"/>
  <c r="AU25" i="1"/>
  <c r="AT25" i="1"/>
  <c r="AQ25" i="1"/>
  <c r="AN25" i="1"/>
  <c r="AK25" i="1"/>
  <c r="AJ25" i="1"/>
  <c r="AG25" i="1"/>
  <c r="AF25" i="1"/>
  <c r="AC25" i="1"/>
  <c r="AB25" i="1"/>
  <c r="Y25" i="1"/>
  <c r="X25" i="1"/>
  <c r="U25" i="1"/>
  <c r="T25" i="1"/>
  <c r="Q25" i="1"/>
  <c r="P25" i="1"/>
  <c r="M25" i="1"/>
  <c r="L25" i="1"/>
  <c r="I25" i="1"/>
  <c r="H25" i="1"/>
  <c r="E25" i="1"/>
  <c r="D25" i="1"/>
  <c r="AR24" i="1"/>
  <c r="AO24" i="1"/>
  <c r="AW23" i="1"/>
  <c r="AT23" i="1"/>
  <c r="AQ23" i="1"/>
  <c r="AL23" i="1"/>
  <c r="AN23" i="1" s="1"/>
  <c r="AK23" i="1"/>
  <c r="AH23" i="1"/>
  <c r="AJ23" i="1" s="1"/>
  <c r="AG23" i="1"/>
  <c r="AD23" i="1"/>
  <c r="AF23" i="1" s="1"/>
  <c r="AC23" i="1"/>
  <c r="Z23" i="1"/>
  <c r="AB23" i="1" s="1"/>
  <c r="Y23" i="1"/>
  <c r="V23" i="1"/>
  <c r="X23" i="1" s="1"/>
  <c r="U23" i="1"/>
  <c r="R23" i="1"/>
  <c r="T23" i="1" s="1"/>
  <c r="Q23" i="1"/>
  <c r="N23" i="1"/>
  <c r="P23" i="1" s="1"/>
  <c r="M23" i="1"/>
  <c r="J23" i="1"/>
  <c r="L23" i="1" s="1"/>
  <c r="I23" i="1"/>
  <c r="F23" i="1"/>
  <c r="H23" i="1" s="1"/>
  <c r="E23" i="1"/>
  <c r="B23" i="1"/>
  <c r="D23" i="1" s="1"/>
  <c r="AS22" i="1"/>
  <c r="AP22" i="1"/>
  <c r="AM22" i="1"/>
  <c r="AL22" i="1"/>
  <c r="AI22" i="1"/>
  <c r="AH22" i="1"/>
  <c r="AE22" i="1"/>
  <c r="AD22" i="1"/>
  <c r="AA22" i="1"/>
  <c r="Z22" i="1"/>
  <c r="W22" i="1"/>
  <c r="V22" i="1"/>
  <c r="S22" i="1"/>
  <c r="R22" i="1"/>
  <c r="O22" i="1"/>
  <c r="N22" i="1"/>
  <c r="K22" i="1"/>
  <c r="J22" i="1"/>
  <c r="G22" i="1"/>
  <c r="F22" i="1"/>
  <c r="C22" i="1"/>
  <c r="B22" i="1"/>
  <c r="AS21" i="1"/>
  <c r="AP21" i="1"/>
  <c r="AM21" i="1"/>
  <c r="AL21" i="1"/>
  <c r="AI21" i="1"/>
  <c r="AH21" i="1"/>
  <c r="AE21" i="1"/>
  <c r="AD21" i="1"/>
  <c r="AA21" i="1"/>
  <c r="Z21" i="1"/>
  <c r="W21" i="1"/>
  <c r="V21" i="1"/>
  <c r="S21" i="1"/>
  <c r="R21" i="1"/>
  <c r="O21" i="1"/>
  <c r="N21" i="1"/>
  <c r="K21" i="1"/>
  <c r="J21" i="1"/>
  <c r="G21" i="1"/>
  <c r="F21" i="1"/>
  <c r="C21" i="1"/>
  <c r="B21" i="1"/>
  <c r="AW20" i="1"/>
  <c r="AU20" i="1"/>
  <c r="AT20" i="1"/>
  <c r="AQ20" i="1"/>
  <c r="AN20" i="1"/>
  <c r="AK20" i="1"/>
  <c r="AJ20" i="1"/>
  <c r="AG20" i="1"/>
  <c r="AF20" i="1"/>
  <c r="AC20" i="1"/>
  <c r="AB20" i="1"/>
  <c r="Y20" i="1"/>
  <c r="X20" i="1"/>
  <c r="U20" i="1"/>
  <c r="T20" i="1"/>
  <c r="Q20" i="1"/>
  <c r="P20" i="1"/>
  <c r="M20" i="1"/>
  <c r="L20" i="1"/>
  <c r="I20" i="1"/>
  <c r="H20" i="1"/>
  <c r="E20" i="1"/>
  <c r="D20" i="1"/>
  <c r="AR19" i="1"/>
  <c r="AO19" i="1"/>
  <c r="AW18" i="1"/>
  <c r="AT18" i="1"/>
  <c r="AQ18" i="1"/>
  <c r="AL18" i="1"/>
  <c r="AN18" i="1" s="1"/>
  <c r="AK18" i="1"/>
  <c r="AH18" i="1"/>
  <c r="AJ18" i="1" s="1"/>
  <c r="AG18" i="1"/>
  <c r="AD18" i="1"/>
  <c r="AF18" i="1" s="1"/>
  <c r="AC18" i="1"/>
  <c r="Z18" i="1"/>
  <c r="AB18" i="1" s="1"/>
  <c r="Y18" i="1"/>
  <c r="V18" i="1"/>
  <c r="X18" i="1" s="1"/>
  <c r="U18" i="1"/>
  <c r="R18" i="1"/>
  <c r="T18" i="1" s="1"/>
  <c r="Q18" i="1"/>
  <c r="N18" i="1"/>
  <c r="P18" i="1" s="1"/>
  <c r="M18" i="1"/>
  <c r="J18" i="1"/>
  <c r="L18" i="1" s="1"/>
  <c r="I18" i="1"/>
  <c r="F18" i="1"/>
  <c r="H18" i="1" s="1"/>
  <c r="E18" i="1"/>
  <c r="B18" i="1"/>
  <c r="AS17" i="1"/>
  <c r="AP17" i="1"/>
  <c r="AM17" i="1"/>
  <c r="AL17" i="1"/>
  <c r="AI17" i="1"/>
  <c r="AH17" i="1"/>
  <c r="AE17" i="1"/>
  <c r="AD17" i="1"/>
  <c r="AA17" i="1"/>
  <c r="Z17" i="1"/>
  <c r="W17" i="1"/>
  <c r="V17" i="1"/>
  <c r="X17" i="1" s="1"/>
  <c r="S17" i="1"/>
  <c r="R17" i="1"/>
  <c r="T17" i="1" s="1"/>
  <c r="O17" i="1"/>
  <c r="N17" i="1"/>
  <c r="P17" i="1" s="1"/>
  <c r="K17" i="1"/>
  <c r="J17" i="1"/>
  <c r="G17" i="1"/>
  <c r="F17" i="1"/>
  <c r="C17" i="1"/>
  <c r="B17" i="1"/>
  <c r="AS16" i="1"/>
  <c r="AP16" i="1"/>
  <c r="AQ16" i="1" s="1"/>
  <c r="AM16" i="1"/>
  <c r="AL16" i="1"/>
  <c r="AI16" i="1"/>
  <c r="AH16" i="1"/>
  <c r="AJ16" i="1" s="1"/>
  <c r="AE16" i="1"/>
  <c r="AD16" i="1"/>
  <c r="AA16" i="1"/>
  <c r="Z16" i="1"/>
  <c r="W16" i="1"/>
  <c r="V16" i="1"/>
  <c r="S16" i="1"/>
  <c r="R16" i="1"/>
  <c r="O16" i="1"/>
  <c r="N16" i="1"/>
  <c r="K16" i="1"/>
  <c r="J16" i="1"/>
  <c r="G16" i="1"/>
  <c r="F16" i="1"/>
  <c r="C16" i="1"/>
  <c r="B16" i="1"/>
  <c r="AW15" i="1"/>
  <c r="AU15" i="1"/>
  <c r="AV15" i="1" s="1"/>
  <c r="AT15" i="1"/>
  <c r="AQ15" i="1"/>
  <c r="AN15" i="1"/>
  <c r="AK15" i="1"/>
  <c r="AJ15" i="1"/>
  <c r="AG15" i="1"/>
  <c r="AF15" i="1"/>
  <c r="AC15" i="1"/>
  <c r="AB15" i="1"/>
  <c r="Y15" i="1"/>
  <c r="X15" i="1"/>
  <c r="U15" i="1"/>
  <c r="T15" i="1"/>
  <c r="Q15" i="1"/>
  <c r="P15" i="1"/>
  <c r="M15" i="1"/>
  <c r="L15" i="1"/>
  <c r="I15" i="1"/>
  <c r="H15" i="1"/>
  <c r="E15" i="1"/>
  <c r="D15" i="1"/>
  <c r="AR12" i="1"/>
  <c r="AR13" i="1" s="1"/>
  <c r="AO12" i="1"/>
  <c r="AO13" i="1" s="1"/>
  <c r="AW11" i="1"/>
  <c r="AT11" i="1"/>
  <c r="AQ11" i="1"/>
  <c r="AN11" i="1"/>
  <c r="AK11" i="1"/>
  <c r="AJ11" i="1"/>
  <c r="AG11" i="1"/>
  <c r="AF11" i="1"/>
  <c r="AC11" i="1"/>
  <c r="Z11" i="1"/>
  <c r="AU11" i="1" s="1"/>
  <c r="Y11" i="1"/>
  <c r="X11" i="1"/>
  <c r="U11" i="1"/>
  <c r="T11" i="1"/>
  <c r="Q11" i="1"/>
  <c r="P11" i="1"/>
  <c r="M11" i="1"/>
  <c r="L11" i="1"/>
  <c r="I11" i="1"/>
  <c r="H11" i="1"/>
  <c r="E11" i="1"/>
  <c r="D11" i="1"/>
  <c r="AU10" i="1"/>
  <c r="AS10" i="1"/>
  <c r="AP10" i="1"/>
  <c r="AM10" i="1"/>
  <c r="AI10" i="1"/>
  <c r="AJ10" i="1" s="1"/>
  <c r="AE10" i="1"/>
  <c r="AF10" i="1" s="1"/>
  <c r="AA10" i="1"/>
  <c r="AC10" i="1" s="1"/>
  <c r="W10" i="1"/>
  <c r="S10" i="1"/>
  <c r="T10" i="1" s="1"/>
  <c r="O10" i="1"/>
  <c r="Q10" i="1" s="1"/>
  <c r="K10" i="1"/>
  <c r="M10" i="1" s="1"/>
  <c r="G10" i="1"/>
  <c r="C10" i="1"/>
  <c r="AS9" i="1"/>
  <c r="AT9" i="1" s="1"/>
  <c r="AP9" i="1"/>
  <c r="AM9" i="1"/>
  <c r="AL9" i="1"/>
  <c r="AI9" i="1"/>
  <c r="AH9" i="1"/>
  <c r="AE9" i="1"/>
  <c r="AD9" i="1"/>
  <c r="AA9" i="1"/>
  <c r="Z9" i="1"/>
  <c r="W9" i="1"/>
  <c r="V9" i="1"/>
  <c r="S9" i="1"/>
  <c r="R9" i="1"/>
  <c r="O9" i="1"/>
  <c r="N9" i="1"/>
  <c r="K9" i="1"/>
  <c r="J9" i="1"/>
  <c r="L9" i="1" s="1"/>
  <c r="G9" i="1"/>
  <c r="F9" i="1"/>
  <c r="C9" i="1"/>
  <c r="B9" i="1"/>
  <c r="AS8" i="1"/>
  <c r="AP8" i="1"/>
  <c r="AM8" i="1"/>
  <c r="AL8" i="1"/>
  <c r="AI8" i="1"/>
  <c r="AH8" i="1"/>
  <c r="AE8" i="1"/>
  <c r="AD8" i="1"/>
  <c r="AF8" i="1" s="1"/>
  <c r="AA8" i="1"/>
  <c r="Z8" i="1"/>
  <c r="W8" i="1"/>
  <c r="V8" i="1"/>
  <c r="S8" i="1"/>
  <c r="R8" i="1"/>
  <c r="O8" i="1"/>
  <c r="N8" i="1"/>
  <c r="K8" i="1"/>
  <c r="J8" i="1"/>
  <c r="G8" i="1"/>
  <c r="F8" i="1"/>
  <c r="H8" i="1" s="1"/>
  <c r="C8" i="1"/>
  <c r="B8" i="1"/>
  <c r="X113" i="1" l="1"/>
  <c r="AF67" i="1"/>
  <c r="H52" i="1"/>
  <c r="X61" i="1"/>
  <c r="AJ78" i="1"/>
  <c r="AJ93" i="1"/>
  <c r="Q94" i="1"/>
  <c r="L8" i="1"/>
  <c r="AJ8" i="1"/>
  <c r="P9" i="1"/>
  <c r="AF31" i="1"/>
  <c r="AN42" i="1"/>
  <c r="AB93" i="1"/>
  <c r="P102" i="1"/>
  <c r="AN17" i="1"/>
  <c r="V64" i="1"/>
  <c r="AX20" i="1"/>
  <c r="D22" i="1"/>
  <c r="AB22" i="1"/>
  <c r="T47" i="1"/>
  <c r="AN57" i="1"/>
  <c r="AJ67" i="1"/>
  <c r="AN107" i="1"/>
  <c r="H21" i="1"/>
  <c r="H73" i="1"/>
  <c r="L74" i="1"/>
  <c r="AJ74" i="1"/>
  <c r="AX25" i="1"/>
  <c r="X26" i="1"/>
  <c r="AF36" i="1"/>
  <c r="X42" i="1"/>
  <c r="AJ61" i="1"/>
  <c r="X67" i="1"/>
  <c r="AV50" i="1"/>
  <c r="L73" i="1"/>
  <c r="H118" i="1"/>
  <c r="G59" i="1"/>
  <c r="T103" i="1"/>
  <c r="AV77" i="1"/>
  <c r="AF32" i="1"/>
  <c r="H56" i="1"/>
  <c r="L57" i="1"/>
  <c r="S64" i="1"/>
  <c r="AU85" i="1"/>
  <c r="AX85" i="1" s="1"/>
  <c r="AB86" i="1"/>
  <c r="H88" i="1"/>
  <c r="L118" i="1"/>
  <c r="AJ118" i="1"/>
  <c r="Q21" i="1"/>
  <c r="AA59" i="1"/>
  <c r="D21" i="1"/>
  <c r="AX30" i="1"/>
  <c r="T57" i="1"/>
  <c r="L79" i="1"/>
  <c r="AJ79" i="1"/>
  <c r="AB103" i="1"/>
  <c r="AV20" i="1"/>
  <c r="AI105" i="1"/>
  <c r="AV65" i="1"/>
  <c r="AV35" i="1"/>
  <c r="AV25" i="1"/>
  <c r="AG57" i="1"/>
  <c r="S54" i="1"/>
  <c r="X56" i="1"/>
  <c r="AK21" i="1"/>
  <c r="AE39" i="1"/>
  <c r="Q51" i="1"/>
  <c r="AX87" i="1"/>
  <c r="X94" i="1"/>
  <c r="AN113" i="1"/>
  <c r="D118" i="1"/>
  <c r="J19" i="1"/>
  <c r="K81" i="1"/>
  <c r="H86" i="1"/>
  <c r="AM121" i="1"/>
  <c r="B44" i="1"/>
  <c r="AF103" i="1"/>
  <c r="D17" i="1"/>
  <c r="AB17" i="1"/>
  <c r="T42" i="1"/>
  <c r="AX82" i="1"/>
  <c r="AN86" i="1"/>
  <c r="C24" i="1"/>
  <c r="AA54" i="1"/>
  <c r="P112" i="1"/>
  <c r="AP39" i="1"/>
  <c r="AQ39" i="1" s="1"/>
  <c r="AE91" i="1"/>
  <c r="AE24" i="1"/>
  <c r="W19" i="1"/>
  <c r="AJ51" i="1"/>
  <c r="AN52" i="1"/>
  <c r="H61" i="1"/>
  <c r="AF61" i="1"/>
  <c r="AI81" i="1"/>
  <c r="AN89" i="1"/>
  <c r="AK94" i="1"/>
  <c r="AX111" i="1"/>
  <c r="AB113" i="1"/>
  <c r="AJ117" i="1"/>
  <c r="U36" i="1"/>
  <c r="AE54" i="1"/>
  <c r="C64" i="1"/>
  <c r="O39" i="1"/>
  <c r="AC89" i="1"/>
  <c r="Q108" i="1"/>
  <c r="U27" i="1"/>
  <c r="AI44" i="1"/>
  <c r="AX11" i="1"/>
  <c r="J64" i="1"/>
  <c r="AP121" i="1"/>
  <c r="AQ121" i="1" s="1"/>
  <c r="J59" i="1"/>
  <c r="AI71" i="1"/>
  <c r="X8" i="1"/>
  <c r="L17" i="1"/>
  <c r="AJ17" i="1"/>
  <c r="AB26" i="1"/>
  <c r="F29" i="1"/>
  <c r="D42" i="1"/>
  <c r="AB42" i="1"/>
  <c r="AF46" i="1"/>
  <c r="X79" i="1"/>
  <c r="AQ86" i="1"/>
  <c r="AF88" i="1"/>
  <c r="N96" i="1"/>
  <c r="AN93" i="1"/>
  <c r="AJ103" i="1"/>
  <c r="T107" i="1"/>
  <c r="J34" i="1"/>
  <c r="Q22" i="1"/>
  <c r="K34" i="1"/>
  <c r="M34" i="1" s="1"/>
  <c r="AD54" i="1"/>
  <c r="M78" i="1"/>
  <c r="AU83" i="1"/>
  <c r="M112" i="1"/>
  <c r="O115" i="1"/>
  <c r="AA29" i="1"/>
  <c r="AB32" i="1"/>
  <c r="AE59" i="1"/>
  <c r="AI59" i="1"/>
  <c r="M74" i="1"/>
  <c r="AN78" i="1"/>
  <c r="T79" i="1"/>
  <c r="AJ86" i="1"/>
  <c r="F96" i="1"/>
  <c r="AX106" i="1"/>
  <c r="P108" i="1"/>
  <c r="T113" i="1"/>
  <c r="Y117" i="1"/>
  <c r="AG37" i="1"/>
  <c r="Q74" i="1"/>
  <c r="AK37" i="1"/>
  <c r="AM44" i="1"/>
  <c r="Q9" i="1"/>
  <c r="Y17" i="1"/>
  <c r="AA49" i="1"/>
  <c r="K54" i="1"/>
  <c r="T73" i="1"/>
  <c r="Y74" i="1"/>
  <c r="K121" i="1"/>
  <c r="E8" i="1"/>
  <c r="AC26" i="1"/>
  <c r="T108" i="1"/>
  <c r="M37" i="1"/>
  <c r="W49" i="1"/>
  <c r="O59" i="1"/>
  <c r="AK99" i="1"/>
  <c r="W115" i="1"/>
  <c r="AC113" i="1"/>
  <c r="AX15" i="1"/>
  <c r="AG22" i="1"/>
  <c r="N29" i="1"/>
  <c r="AJ47" i="1"/>
  <c r="L66" i="1"/>
  <c r="V76" i="1"/>
  <c r="AK88" i="1"/>
  <c r="AC108" i="1"/>
  <c r="I113" i="1"/>
  <c r="G39" i="1"/>
  <c r="J76" i="1"/>
  <c r="O29" i="1"/>
  <c r="C44" i="1"/>
  <c r="V96" i="1"/>
  <c r="S24" i="1"/>
  <c r="U46" i="1"/>
  <c r="E51" i="1"/>
  <c r="AK56" i="1"/>
  <c r="I89" i="1"/>
  <c r="X103" i="1"/>
  <c r="G110" i="1"/>
  <c r="H110" i="1" s="1"/>
  <c r="AK9" i="1"/>
  <c r="O76" i="1"/>
  <c r="I117" i="1"/>
  <c r="AP59" i="1"/>
  <c r="AQ59" i="1" s="1"/>
  <c r="X9" i="1"/>
  <c r="AB16" i="1"/>
  <c r="H17" i="1"/>
  <c r="AF17" i="1"/>
  <c r="AJ21" i="1"/>
  <c r="AJ31" i="1"/>
  <c r="G34" i="1"/>
  <c r="T36" i="1"/>
  <c r="L46" i="1"/>
  <c r="X52" i="1"/>
  <c r="D56" i="1"/>
  <c r="H57" i="1"/>
  <c r="AF57" i="1"/>
  <c r="AJ62" i="1"/>
  <c r="H74" i="1"/>
  <c r="AF74" i="1"/>
  <c r="AF102" i="1"/>
  <c r="M113" i="1"/>
  <c r="M9" i="1"/>
  <c r="AT27" i="1"/>
  <c r="W64" i="1"/>
  <c r="X64" i="1" s="1"/>
  <c r="AC17" i="1"/>
  <c r="AE44" i="1"/>
  <c r="E17" i="1"/>
  <c r="AP115" i="1"/>
  <c r="AQ115" i="1" s="1"/>
  <c r="AQ112" i="1"/>
  <c r="AG47" i="1"/>
  <c r="AC102" i="1"/>
  <c r="AA105" i="1"/>
  <c r="U31" i="1"/>
  <c r="S34" i="1"/>
  <c r="U57" i="1"/>
  <c r="AA12" i="1"/>
  <c r="AA13" i="1" s="1"/>
  <c r="V34" i="1"/>
  <c r="R59" i="1"/>
  <c r="J121" i="1"/>
  <c r="AI39" i="1"/>
  <c r="X16" i="1"/>
  <c r="V19" i="1"/>
  <c r="Y16" i="1"/>
  <c r="H47" i="1"/>
  <c r="AC9" i="1"/>
  <c r="D108" i="1"/>
  <c r="E108" i="1"/>
  <c r="S29" i="1"/>
  <c r="T94" i="1"/>
  <c r="R96" i="1"/>
  <c r="T93" i="1"/>
  <c r="S96" i="1"/>
  <c r="U93" i="1"/>
  <c r="AN9" i="1"/>
  <c r="M16" i="1"/>
  <c r="G24" i="1"/>
  <c r="I32" i="1"/>
  <c r="AJ32" i="1"/>
  <c r="AX40" i="1"/>
  <c r="T46" i="1"/>
  <c r="P52" i="1"/>
  <c r="AF56" i="1"/>
  <c r="AK61" i="1"/>
  <c r="AE71" i="1"/>
  <c r="P74" i="1"/>
  <c r="AN74" i="1"/>
  <c r="AC78" i="1"/>
  <c r="L86" i="1"/>
  <c r="L88" i="1"/>
  <c r="L93" i="1"/>
  <c r="I94" i="1"/>
  <c r="AF94" i="1"/>
  <c r="AX97" i="1"/>
  <c r="U102" i="1"/>
  <c r="L112" i="1"/>
  <c r="H113" i="1"/>
  <c r="J115" i="1"/>
  <c r="W76" i="1"/>
  <c r="B71" i="1"/>
  <c r="S81" i="1"/>
  <c r="AK117" i="1"/>
  <c r="AC16" i="1"/>
  <c r="V24" i="1"/>
  <c r="AL44" i="1"/>
  <c r="I74" i="1"/>
  <c r="Y94" i="1"/>
  <c r="E107" i="1"/>
  <c r="AT112" i="1"/>
  <c r="Q118" i="1"/>
  <c r="AS24" i="1"/>
  <c r="AT24" i="1" s="1"/>
  <c r="E27" i="1"/>
  <c r="Q103" i="1"/>
  <c r="D112" i="1"/>
  <c r="R121" i="1"/>
  <c r="M52" i="1"/>
  <c r="I67" i="1"/>
  <c r="E79" i="1"/>
  <c r="AL110" i="1"/>
  <c r="AU114" i="1"/>
  <c r="Q8" i="1"/>
  <c r="AE34" i="1"/>
  <c r="S44" i="1"/>
  <c r="AL19" i="1"/>
  <c r="AP49" i="1"/>
  <c r="AQ49" i="1" s="1"/>
  <c r="AU9" i="1"/>
  <c r="AV9" i="1" s="1"/>
  <c r="Q16" i="1"/>
  <c r="AM19" i="1"/>
  <c r="AN32" i="1"/>
  <c r="H36" i="1"/>
  <c r="H37" i="1"/>
  <c r="X46" i="1"/>
  <c r="V49" i="1"/>
  <c r="T51" i="1"/>
  <c r="L56" i="1"/>
  <c r="AJ56" i="1"/>
  <c r="M57" i="1"/>
  <c r="AX60" i="1"/>
  <c r="M66" i="1"/>
  <c r="AN67" i="1"/>
  <c r="AM76" i="1"/>
  <c r="L78" i="1"/>
  <c r="AE81" i="1"/>
  <c r="AK79" i="1"/>
  <c r="P88" i="1"/>
  <c r="AN88" i="1"/>
  <c r="AB89" i="1"/>
  <c r="AE96" i="1"/>
  <c r="AJ94" i="1"/>
  <c r="AT102" i="1"/>
  <c r="AG113" i="1"/>
  <c r="B121" i="1"/>
  <c r="Z121" i="1"/>
  <c r="E62" i="1"/>
  <c r="AX92" i="1"/>
  <c r="O100" i="1"/>
  <c r="Q100" i="1" s="1"/>
  <c r="AM39" i="1"/>
  <c r="AG52" i="1"/>
  <c r="AG107" i="1"/>
  <c r="AK8" i="1"/>
  <c r="B29" i="1"/>
  <c r="E56" i="1"/>
  <c r="C71" i="1"/>
  <c r="I73" i="1"/>
  <c r="N12" i="1"/>
  <c r="N13" i="1" s="1"/>
  <c r="AK17" i="1"/>
  <c r="AA71" i="1"/>
  <c r="AN8" i="1"/>
  <c r="V39" i="1"/>
  <c r="AC57" i="1"/>
  <c r="M62" i="1"/>
  <c r="AD71" i="1"/>
  <c r="AA96" i="1"/>
  <c r="U103" i="1"/>
  <c r="N19" i="1"/>
  <c r="R19" i="1"/>
  <c r="AU18" i="1"/>
  <c r="K19" i="1"/>
  <c r="AK31" i="1"/>
  <c r="AC42" i="1"/>
  <c r="O54" i="1"/>
  <c r="M56" i="1"/>
  <c r="T61" i="1"/>
  <c r="AL71" i="1"/>
  <c r="AU75" i="1"/>
  <c r="AL81" i="1"/>
  <c r="G105" i="1"/>
  <c r="I105" i="1" s="1"/>
  <c r="V110" i="1"/>
  <c r="AM24" i="1"/>
  <c r="X32" i="1"/>
  <c r="AC62" i="1"/>
  <c r="AC74" i="1"/>
  <c r="U113" i="1"/>
  <c r="W71" i="1"/>
  <c r="M8" i="1"/>
  <c r="E32" i="1"/>
  <c r="M17" i="1"/>
  <c r="E21" i="1"/>
  <c r="AG61" i="1"/>
  <c r="E66" i="1"/>
  <c r="AG31" i="1"/>
  <c r="Y37" i="1"/>
  <c r="Q46" i="1"/>
  <c r="AK51" i="1"/>
  <c r="AB94" i="1"/>
  <c r="D8" i="1"/>
  <c r="H9" i="1"/>
  <c r="O12" i="1"/>
  <c r="O13" i="1" s="1"/>
  <c r="P22" i="1"/>
  <c r="AN22" i="1"/>
  <c r="AN26" i="1"/>
  <c r="T32" i="1"/>
  <c r="AJ37" i="1"/>
  <c r="AF42" i="1"/>
  <c r="D46" i="1"/>
  <c r="AD49" i="1"/>
  <c r="N59" i="1"/>
  <c r="AN56" i="1"/>
  <c r="Q57" i="1"/>
  <c r="AJ57" i="1"/>
  <c r="X62" i="1"/>
  <c r="Q66" i="1"/>
  <c r="U67" i="1"/>
  <c r="X74" i="1"/>
  <c r="S91" i="1"/>
  <c r="T91" i="1" s="1"/>
  <c r="AK93" i="1"/>
  <c r="AX101" i="1"/>
  <c r="Z105" i="1"/>
  <c r="Y107" i="1"/>
  <c r="AT107" i="1"/>
  <c r="AB108" i="1"/>
  <c r="AJ113" i="1"/>
  <c r="AF47" i="1"/>
  <c r="D114" i="1"/>
  <c r="Y9" i="1"/>
  <c r="P26" i="1"/>
  <c r="B76" i="1"/>
  <c r="E117" i="1"/>
  <c r="AC36" i="1"/>
  <c r="M89" i="1"/>
  <c r="L99" i="1"/>
  <c r="U52" i="1"/>
  <c r="AQ61" i="1"/>
  <c r="AP64" i="1"/>
  <c r="AQ64" i="1" s="1"/>
  <c r="AK78" i="1"/>
  <c r="AP105" i="1"/>
  <c r="AX55" i="1"/>
  <c r="Q99" i="1"/>
  <c r="AN108" i="1"/>
  <c r="Q17" i="1"/>
  <c r="AS19" i="1"/>
  <c r="AT19" i="1" s="1"/>
  <c r="D26" i="1"/>
  <c r="AU27" i="1"/>
  <c r="AV27" i="1" s="1"/>
  <c r="AW32" i="1"/>
  <c r="V44" i="1"/>
  <c r="AT41" i="1"/>
  <c r="C49" i="1"/>
  <c r="E46" i="1"/>
  <c r="D52" i="1"/>
  <c r="AU52" i="1"/>
  <c r="AV52" i="1" s="1"/>
  <c r="AT52" i="1"/>
  <c r="U56" i="1"/>
  <c r="S59" i="1"/>
  <c r="F59" i="1"/>
  <c r="H59" i="1" s="1"/>
  <c r="AQ62" i="1"/>
  <c r="AB66" i="1"/>
  <c r="Z71" i="1"/>
  <c r="AK74" i="1"/>
  <c r="U108" i="1"/>
  <c r="AQ108" i="1"/>
  <c r="AK113" i="1"/>
  <c r="AG26" i="1"/>
  <c r="AE29" i="1"/>
  <c r="K64" i="1"/>
  <c r="M61" i="1"/>
  <c r="N44" i="1"/>
  <c r="P42" i="1"/>
  <c r="AC117" i="1"/>
  <c r="AD12" i="1"/>
  <c r="AD13" i="1" s="1"/>
  <c r="I57" i="1"/>
  <c r="AP54" i="1"/>
  <c r="AQ54" i="1" s="1"/>
  <c r="Q62" i="1"/>
  <c r="P16" i="1"/>
  <c r="R24" i="1"/>
  <c r="P32" i="1"/>
  <c r="AI34" i="1"/>
  <c r="AD34" i="1"/>
  <c r="Z49" i="1"/>
  <c r="AW52" i="1"/>
  <c r="T56" i="1"/>
  <c r="AW61" i="1"/>
  <c r="H67" i="1"/>
  <c r="AM71" i="1"/>
  <c r="Y78" i="1"/>
  <c r="Y88" i="1"/>
  <c r="AC103" i="1"/>
  <c r="AD110" i="1"/>
  <c r="AS121" i="1"/>
  <c r="M79" i="1"/>
  <c r="I36" i="1"/>
  <c r="Q41" i="1"/>
  <c r="O44" i="1"/>
  <c r="E118" i="1"/>
  <c r="AL91" i="1"/>
  <c r="P99" i="1"/>
  <c r="AD59" i="1"/>
  <c r="K91" i="1"/>
  <c r="L91" i="1" s="1"/>
  <c r="K100" i="1"/>
  <c r="M100" i="1" s="1"/>
  <c r="K115" i="1"/>
  <c r="W121" i="1"/>
  <c r="X31" i="1"/>
  <c r="Q27" i="1"/>
  <c r="R110" i="1"/>
  <c r="AM54" i="1"/>
  <c r="AQ89" i="1"/>
  <c r="AK16" i="1"/>
  <c r="AI19" i="1"/>
  <c r="AG36" i="1"/>
  <c r="U47" i="1"/>
  <c r="AS71" i="1"/>
  <c r="AT71" i="1" s="1"/>
  <c r="Q79" i="1"/>
  <c r="AG32" i="1"/>
  <c r="AT93" i="1"/>
  <c r="AK98" i="1"/>
  <c r="AP24" i="1"/>
  <c r="AQ24" i="1" s="1"/>
  <c r="U22" i="1"/>
  <c r="AQ22" i="1"/>
  <c r="I27" i="1"/>
  <c r="AG27" i="1"/>
  <c r="AL29" i="1"/>
  <c r="T31" i="1"/>
  <c r="AT47" i="1"/>
  <c r="I61" i="1"/>
  <c r="G71" i="1"/>
  <c r="L98" i="1"/>
  <c r="AG102" i="1"/>
  <c r="AF107" i="1"/>
  <c r="F115" i="1"/>
  <c r="AC112" i="1"/>
  <c r="AA115" i="1"/>
  <c r="AU120" i="1"/>
  <c r="AQ31" i="1"/>
  <c r="AP34" i="1"/>
  <c r="AK107" i="1"/>
  <c r="AG56" i="1"/>
  <c r="Q26" i="1"/>
  <c r="AN61" i="1"/>
  <c r="AL64" i="1"/>
  <c r="AA39" i="1"/>
  <c r="Q42" i="1"/>
  <c r="AK47" i="1"/>
  <c r="U94" i="1"/>
  <c r="AT99" i="1"/>
  <c r="AG8" i="1"/>
  <c r="AK73" i="1"/>
  <c r="AI76" i="1"/>
  <c r="E26" i="1"/>
  <c r="AQ41" i="1"/>
  <c r="AN73" i="1"/>
  <c r="AL76" i="1"/>
  <c r="S12" i="1"/>
  <c r="S13" i="1" s="1"/>
  <c r="T9" i="1"/>
  <c r="AQ21" i="1"/>
  <c r="X22" i="1"/>
  <c r="AD29" i="1"/>
  <c r="L27" i="1"/>
  <c r="AJ27" i="1"/>
  <c r="U32" i="1"/>
  <c r="X37" i="1"/>
  <c r="AD44" i="1"/>
  <c r="H42" i="1"/>
  <c r="Z44" i="1"/>
  <c r="AH59" i="1"/>
  <c r="L61" i="1"/>
  <c r="AG94" i="1"/>
  <c r="J96" i="1"/>
  <c r="M98" i="1"/>
  <c r="I108" i="1"/>
  <c r="C110" i="1"/>
  <c r="E110" i="1" s="1"/>
  <c r="U79" i="1"/>
  <c r="AD96" i="1"/>
  <c r="AC41" i="1"/>
  <c r="T83" i="1"/>
  <c r="Z12" i="1"/>
  <c r="AT10" i="1"/>
  <c r="AU16" i="1"/>
  <c r="AV16" i="1" s="1"/>
  <c r="Z19" i="1"/>
  <c r="E22" i="1"/>
  <c r="AC22" i="1"/>
  <c r="H31" i="1"/>
  <c r="I37" i="1"/>
  <c r="F44" i="1"/>
  <c r="AK42" i="1"/>
  <c r="AU47" i="1"/>
  <c r="AV47" i="1" s="1"/>
  <c r="AG51" i="1"/>
  <c r="I52" i="1"/>
  <c r="AC52" i="1"/>
  <c r="AM59" i="1"/>
  <c r="P66" i="1"/>
  <c r="AG67" i="1"/>
  <c r="K71" i="1"/>
  <c r="Z76" i="1"/>
  <c r="N76" i="1"/>
  <c r="AQ79" i="1"/>
  <c r="AT88" i="1"/>
  <c r="AT89" i="1"/>
  <c r="AG93" i="1"/>
  <c r="AH96" i="1"/>
  <c r="AU103" i="1"/>
  <c r="AV103" i="1" s="1"/>
  <c r="X107" i="1"/>
  <c r="AS110" i="1"/>
  <c r="AT110" i="1" s="1"/>
  <c r="N121" i="1"/>
  <c r="AD121" i="1"/>
  <c r="AS49" i="1"/>
  <c r="AT49" i="1" s="1"/>
  <c r="U74" i="1"/>
  <c r="AP81" i="1"/>
  <c r="AQ81" i="1" s="1"/>
  <c r="L108" i="1"/>
  <c r="AQ114" i="1"/>
  <c r="AA19" i="1"/>
  <c r="AQ26" i="1"/>
  <c r="R29" i="1"/>
  <c r="AP29" i="1"/>
  <c r="AH39" i="1"/>
  <c r="F39" i="1"/>
  <c r="G44" i="1"/>
  <c r="AU42" i="1"/>
  <c r="AV42" i="1" s="1"/>
  <c r="AA44" i="1"/>
  <c r="J54" i="1"/>
  <c r="AH54" i="1"/>
  <c r="I56" i="1"/>
  <c r="N71" i="1"/>
  <c r="AA76" i="1"/>
  <c r="Z81" i="1"/>
  <c r="AP91" i="1"/>
  <c r="AQ91" i="1" s="1"/>
  <c r="AU95" i="1"/>
  <c r="X98" i="1"/>
  <c r="T102" i="1"/>
  <c r="AP110" i="1"/>
  <c r="AQ110" i="1" s="1"/>
  <c r="Q117" i="1"/>
  <c r="AG118" i="1"/>
  <c r="AM81" i="1"/>
  <c r="AW10" i="1"/>
  <c r="D74" i="1"/>
  <c r="M103" i="1"/>
  <c r="AH121" i="1"/>
  <c r="F19" i="1"/>
  <c r="AF41" i="1"/>
  <c r="Y56" i="1"/>
  <c r="K59" i="1"/>
  <c r="F64" i="1"/>
  <c r="AA81" i="1"/>
  <c r="V86" i="1"/>
  <c r="X86" i="1" s="1"/>
  <c r="P86" i="1"/>
  <c r="AD91" i="1"/>
  <c r="AF99" i="1"/>
  <c r="Z110" i="1"/>
  <c r="Y113" i="1"/>
  <c r="I8" i="1"/>
  <c r="Y73" i="1"/>
  <c r="AC118" i="1"/>
  <c r="G12" i="1"/>
  <c r="G13" i="1" s="1"/>
  <c r="AU22" i="1"/>
  <c r="AV22" i="1" s="1"/>
  <c r="AJ22" i="1"/>
  <c r="AU26" i="1"/>
  <c r="AV26" i="1" s="1"/>
  <c r="X27" i="1"/>
  <c r="AS34" i="1"/>
  <c r="AK36" i="1"/>
  <c r="AG41" i="1"/>
  <c r="K49" i="1"/>
  <c r="AE49" i="1"/>
  <c r="AQ47" i="1"/>
  <c r="Z59" i="1"/>
  <c r="AB59" i="1" s="1"/>
  <c r="AQ56" i="1"/>
  <c r="H94" i="1"/>
  <c r="H99" i="1"/>
  <c r="V105" i="1"/>
  <c r="AE110" i="1"/>
  <c r="T117" i="1"/>
  <c r="AI121" i="1"/>
  <c r="AC21" i="1"/>
  <c r="E41" i="1"/>
  <c r="AL59" i="1"/>
  <c r="AS91" i="1"/>
  <c r="AT91" i="1" s="1"/>
  <c r="AJ9" i="1"/>
  <c r="U10" i="1"/>
  <c r="L16" i="1"/>
  <c r="AR122" i="1"/>
  <c r="AR123" i="1" s="1"/>
  <c r="O24" i="1"/>
  <c r="K29" i="1"/>
  <c r="D27" i="1"/>
  <c r="F34" i="1"/>
  <c r="R39" i="1"/>
  <c r="AH44" i="1"/>
  <c r="E42" i="1"/>
  <c r="M47" i="1"/>
  <c r="AI54" i="1"/>
  <c r="L62" i="1"/>
  <c r="AE64" i="1"/>
  <c r="T67" i="1"/>
  <c r="AJ73" i="1"/>
  <c r="AB74" i="1"/>
  <c r="O81" i="1"/>
  <c r="AG79" i="1"/>
  <c r="AJ89" i="1"/>
  <c r="AB107" i="1"/>
  <c r="L113" i="1"/>
  <c r="P118" i="1"/>
  <c r="AW9" i="1"/>
  <c r="AG9" i="1"/>
  <c r="AE12" i="1"/>
  <c r="R12" i="1"/>
  <c r="T8" i="1"/>
  <c r="AE19" i="1"/>
  <c r="AG16" i="1"/>
  <c r="AQ17" i="1"/>
  <c r="AH24" i="1"/>
  <c r="E36" i="1"/>
  <c r="C39" i="1"/>
  <c r="AD39" i="1"/>
  <c r="AF39" i="1" s="1"/>
  <c r="U21" i="1"/>
  <c r="T22" i="1"/>
  <c r="D36" i="1"/>
  <c r="AN36" i="1"/>
  <c r="AL39" i="1"/>
  <c r="AN39" i="1" s="1"/>
  <c r="AB43" i="1"/>
  <c r="AU53" i="1"/>
  <c r="D93" i="1"/>
  <c r="B96" i="1"/>
  <c r="AU93" i="1"/>
  <c r="AV93" i="1" s="1"/>
  <c r="AN94" i="1"/>
  <c r="AL96" i="1"/>
  <c r="S100" i="1"/>
  <c r="U100" i="1" s="1"/>
  <c r="T98" i="1"/>
  <c r="U98" i="1"/>
  <c r="AW16" i="1"/>
  <c r="C19" i="1"/>
  <c r="AU17" i="1"/>
  <c r="AV17" i="1" s="1"/>
  <c r="Y32" i="1"/>
  <c r="AC37" i="1"/>
  <c r="AB37" i="1"/>
  <c r="AC67" i="1"/>
  <c r="AB67" i="1"/>
  <c r="AW94" i="1"/>
  <c r="M94" i="1"/>
  <c r="U8" i="1"/>
  <c r="D9" i="1"/>
  <c r="AF27" i="1"/>
  <c r="AL54" i="1"/>
  <c r="AN51" i="1"/>
  <c r="E10" i="1"/>
  <c r="AL12" i="1"/>
  <c r="AS29" i="1"/>
  <c r="AT26" i="1"/>
  <c r="AU32" i="1"/>
  <c r="AV32" i="1" s="1"/>
  <c r="AT37" i="1"/>
  <c r="N39" i="1"/>
  <c r="AK66" i="1"/>
  <c r="AF89" i="1"/>
  <c r="AW89" i="1"/>
  <c r="G96" i="1"/>
  <c r="I93" i="1"/>
  <c r="AW93" i="1"/>
  <c r="H93" i="1"/>
  <c r="AM12" i="1"/>
  <c r="I21" i="1"/>
  <c r="AL34" i="1"/>
  <c r="AN31" i="1"/>
  <c r="X41" i="1"/>
  <c r="AK46" i="1"/>
  <c r="AI49" i="1"/>
  <c r="I47" i="1"/>
  <c r="AT62" i="1"/>
  <c r="AS105" i="1"/>
  <c r="I9" i="1"/>
  <c r="AK27" i="1"/>
  <c r="AM34" i="1"/>
  <c r="AF37" i="1"/>
  <c r="H51" i="1"/>
  <c r="F54" i="1"/>
  <c r="AU51" i="1"/>
  <c r="AV51" i="1" s="1"/>
  <c r="AK52" i="1"/>
  <c r="AT103" i="1"/>
  <c r="B12" i="1"/>
  <c r="AT21" i="1"/>
  <c r="T26" i="1"/>
  <c r="T27" i="1"/>
  <c r="Y31" i="1"/>
  <c r="Q37" i="1"/>
  <c r="P37" i="1"/>
  <c r="G54" i="1"/>
  <c r="AW51" i="1"/>
  <c r="Y79" i="1"/>
  <c r="AB8" i="1"/>
  <c r="P10" i="1"/>
  <c r="AK10" i="1"/>
  <c r="C12" i="1"/>
  <c r="AP19" i="1"/>
  <c r="AQ19" i="1" s="1"/>
  <c r="L22" i="1"/>
  <c r="G29" i="1"/>
  <c r="AW26" i="1"/>
  <c r="U26" i="1"/>
  <c r="L31" i="1"/>
  <c r="Z34" i="1"/>
  <c r="AB31" i="1"/>
  <c r="B34" i="1"/>
  <c r="D33" i="1"/>
  <c r="AU33" i="1"/>
  <c r="W34" i="1"/>
  <c r="AQ38" i="1"/>
  <c r="M42" i="1"/>
  <c r="AT42" i="1"/>
  <c r="AU46" i="1"/>
  <c r="AV46" i="1" s="1"/>
  <c r="AM49" i="1"/>
  <c r="F49" i="1"/>
  <c r="I51" i="1"/>
  <c r="R54" i="1"/>
  <c r="T54" i="1" s="1"/>
  <c r="AG62" i="1"/>
  <c r="AW62" i="1"/>
  <c r="D66" i="1"/>
  <c r="AU66" i="1"/>
  <c r="AV66" i="1" s="1"/>
  <c r="S71" i="1"/>
  <c r="U66" i="1"/>
  <c r="AX72" i="1"/>
  <c r="P73" i="1"/>
  <c r="P78" i="1"/>
  <c r="AF78" i="1"/>
  <c r="AD81" i="1"/>
  <c r="AG78" i="1"/>
  <c r="AU79" i="1"/>
  <c r="AV79" i="1" s="1"/>
  <c r="AH105" i="1"/>
  <c r="AJ102" i="1"/>
  <c r="AH110" i="1"/>
  <c r="AJ108" i="1"/>
  <c r="AU108" i="1"/>
  <c r="AV108" i="1" s="1"/>
  <c r="Z115" i="1"/>
  <c r="AB112" i="1"/>
  <c r="Q113" i="1"/>
  <c r="P113" i="1"/>
  <c r="Y10" i="1"/>
  <c r="X10" i="1"/>
  <c r="AF16" i="1"/>
  <c r="AK22" i="1"/>
  <c r="AQ99" i="1"/>
  <c r="Y108" i="1"/>
  <c r="W110" i="1"/>
  <c r="W39" i="1"/>
  <c r="Y36" i="1"/>
  <c r="U42" i="1"/>
  <c r="AW86" i="1"/>
  <c r="AZ86" i="1" s="1"/>
  <c r="E86" i="1"/>
  <c r="S121" i="1"/>
  <c r="U118" i="1"/>
  <c r="U9" i="1"/>
  <c r="AW22" i="1"/>
  <c r="AH71" i="1"/>
  <c r="AJ66" i="1"/>
  <c r="AW74" i="1"/>
  <c r="E74" i="1"/>
  <c r="L94" i="1"/>
  <c r="Y99" i="1"/>
  <c r="W100" i="1"/>
  <c r="X99" i="1"/>
  <c r="Y22" i="1"/>
  <c r="Z39" i="1"/>
  <c r="H10" i="1"/>
  <c r="I10" i="1"/>
  <c r="AG10" i="1"/>
  <c r="U17" i="1"/>
  <c r="J39" i="1"/>
  <c r="L36" i="1"/>
  <c r="L37" i="1"/>
  <c r="H41" i="1"/>
  <c r="AD76" i="1"/>
  <c r="AF73" i="1"/>
  <c r="AU117" i="1"/>
  <c r="AV117" i="1" s="1"/>
  <c r="L117" i="1"/>
  <c r="G19" i="1"/>
  <c r="I16" i="1"/>
  <c r="AN16" i="1"/>
  <c r="L21" i="1"/>
  <c r="J24" i="1"/>
  <c r="AW27" i="1"/>
  <c r="C29" i="1"/>
  <c r="Y57" i="1"/>
  <c r="X57" i="1"/>
  <c r="AE76" i="1"/>
  <c r="AG73" i="1"/>
  <c r="AH76" i="1"/>
  <c r="AJ75" i="1"/>
  <c r="AQ78" i="1"/>
  <c r="M117" i="1"/>
  <c r="AF21" i="1"/>
  <c r="AD24" i="1"/>
  <c r="AW36" i="1"/>
  <c r="O91" i="1"/>
  <c r="Q91" i="1" s="1"/>
  <c r="Q89" i="1"/>
  <c r="AN10" i="1"/>
  <c r="AG21" i="1"/>
  <c r="AU21" i="1"/>
  <c r="AV21" i="1" s="1"/>
  <c r="AT22" i="1"/>
  <c r="AA34" i="1"/>
  <c r="AC31" i="1"/>
  <c r="AP44" i="1"/>
  <c r="G49" i="1"/>
  <c r="Y46" i="1"/>
  <c r="AU48" i="1"/>
  <c r="N49" i="1"/>
  <c r="E52" i="1"/>
  <c r="C54" i="1"/>
  <c r="W54" i="1"/>
  <c r="Y52" i="1"/>
  <c r="AB56" i="1"/>
  <c r="AS59" i="1"/>
  <c r="AT59" i="1" s="1"/>
  <c r="AT57" i="1"/>
  <c r="Q73" i="1"/>
  <c r="Q78" i="1"/>
  <c r="Z91" i="1"/>
  <c r="AB88" i="1"/>
  <c r="M107" i="1"/>
  <c r="K110" i="1"/>
  <c r="M110" i="1" s="1"/>
  <c r="L107" i="1"/>
  <c r="AW41" i="1"/>
  <c r="E47" i="1"/>
  <c r="D47" i="1"/>
  <c r="T41" i="1"/>
  <c r="AU23" i="1"/>
  <c r="U41" i="1"/>
  <c r="D10" i="1"/>
  <c r="AG17" i="1"/>
  <c r="B19" i="1"/>
  <c r="AK41" i="1"/>
  <c r="T16" i="1"/>
  <c r="X21" i="1"/>
  <c r="W12" i="1"/>
  <c r="AH19" i="1"/>
  <c r="T33" i="1"/>
  <c r="R34" i="1"/>
  <c r="AU36" i="1"/>
  <c r="AV36" i="1" s="1"/>
  <c r="I41" i="1"/>
  <c r="H16" i="1"/>
  <c r="M22" i="1"/>
  <c r="J44" i="1"/>
  <c r="L41" i="1"/>
  <c r="AN46" i="1"/>
  <c r="AL49" i="1"/>
  <c r="R71" i="1"/>
  <c r="T66" i="1"/>
  <c r="AQ8" i="1"/>
  <c r="AQ9" i="1"/>
  <c r="AP12" i="1"/>
  <c r="AQ12" i="1" s="1"/>
  <c r="P8" i="1"/>
  <c r="AW21" i="1"/>
  <c r="AF22" i="1"/>
  <c r="F24" i="1"/>
  <c r="I26" i="1"/>
  <c r="H27" i="1"/>
  <c r="Y27" i="1"/>
  <c r="N34" i="1"/>
  <c r="P31" i="1"/>
  <c r="AU31" i="1"/>
  <c r="AV31" i="1" s="1"/>
  <c r="AT31" i="1"/>
  <c r="E37" i="1"/>
  <c r="D37" i="1"/>
  <c r="AU37" i="1"/>
  <c r="AV37" i="1" s="1"/>
  <c r="S39" i="1"/>
  <c r="U37" i="1"/>
  <c r="T37" i="1"/>
  <c r="AG42" i="1"/>
  <c r="H46" i="1"/>
  <c r="AH49" i="1"/>
  <c r="AW47" i="1"/>
  <c r="P48" i="1"/>
  <c r="B59" i="1"/>
  <c r="AU56" i="1"/>
  <c r="AV56" i="1" s="1"/>
  <c r="P56" i="1"/>
  <c r="AC56" i="1"/>
  <c r="Z64" i="1"/>
  <c r="AB61" i="1"/>
  <c r="B81" i="1"/>
  <c r="AU78" i="1"/>
  <c r="AV78" i="1" s="1"/>
  <c r="D78" i="1"/>
  <c r="F91" i="1"/>
  <c r="AU88" i="1"/>
  <c r="AV88" i="1" s="1"/>
  <c r="AC88" i="1"/>
  <c r="AA91" i="1"/>
  <c r="AU109" i="1"/>
  <c r="AQ67" i="1"/>
  <c r="AP71" i="1"/>
  <c r="AU80" i="1"/>
  <c r="D80" i="1"/>
  <c r="AU8" i="1"/>
  <c r="AV8" i="1" s="1"/>
  <c r="AJ41" i="1"/>
  <c r="Y47" i="1"/>
  <c r="X47" i="1"/>
  <c r="AF53" i="1"/>
  <c r="W96" i="1"/>
  <c r="Y93" i="1"/>
  <c r="X93" i="1"/>
  <c r="U99" i="1"/>
  <c r="D16" i="1"/>
  <c r="S19" i="1"/>
  <c r="U16" i="1"/>
  <c r="AW17" i="1"/>
  <c r="W24" i="1"/>
  <c r="Y21" i="1"/>
  <c r="X36" i="1"/>
  <c r="U51" i="1"/>
  <c r="E9" i="1"/>
  <c r="E16" i="1"/>
  <c r="H22" i="1"/>
  <c r="W44" i="1"/>
  <c r="Y41" i="1"/>
  <c r="V54" i="1"/>
  <c r="Y51" i="1"/>
  <c r="E57" i="1"/>
  <c r="AW57" i="1"/>
  <c r="J71" i="1"/>
  <c r="L67" i="1"/>
  <c r="AU67" i="1"/>
  <c r="AV67" i="1" s="1"/>
  <c r="I22" i="1"/>
  <c r="AF26" i="1"/>
  <c r="L32" i="1"/>
  <c r="M32" i="1"/>
  <c r="AJ52" i="1"/>
  <c r="AD64" i="1"/>
  <c r="AG89" i="1"/>
  <c r="AQ42" i="1"/>
  <c r="AJ46" i="1"/>
  <c r="X51" i="1"/>
  <c r="P75" i="1"/>
  <c r="R86" i="1"/>
  <c r="T84" i="1"/>
  <c r="AU84" i="1"/>
  <c r="AW112" i="1"/>
  <c r="E112" i="1"/>
  <c r="C115" i="1"/>
  <c r="I17" i="1"/>
  <c r="D18" i="1"/>
  <c r="K24" i="1"/>
  <c r="M21" i="1"/>
  <c r="AW31" i="1"/>
  <c r="AU62" i="1"/>
  <c r="AV62" i="1" s="1"/>
  <c r="AT78" i="1"/>
  <c r="AS81" i="1"/>
  <c r="AC8" i="1"/>
  <c r="AB9" i="1"/>
  <c r="AW8" i="1"/>
  <c r="AS12" i="1"/>
  <c r="AT12" i="1" s="1"/>
  <c r="AT8" i="1"/>
  <c r="AF9" i="1"/>
  <c r="F12" i="1"/>
  <c r="O19" i="1"/>
  <c r="AD19" i="1"/>
  <c r="T21" i="1"/>
  <c r="AI24" i="1"/>
  <c r="O34" i="1"/>
  <c r="Q31" i="1"/>
  <c r="AK32" i="1"/>
  <c r="B39" i="1"/>
  <c r="AJ36" i="1"/>
  <c r="R44" i="1"/>
  <c r="AU41" i="1"/>
  <c r="AV41" i="1" s="1"/>
  <c r="I46" i="1"/>
  <c r="AC46" i="1"/>
  <c r="AB46" i="1"/>
  <c r="J49" i="1"/>
  <c r="C59" i="1"/>
  <c r="AW56" i="1"/>
  <c r="Q56" i="1"/>
  <c r="AA64" i="1"/>
  <c r="AC61" i="1"/>
  <c r="T62" i="1"/>
  <c r="R64" i="1"/>
  <c r="T64" i="1" s="1"/>
  <c r="AH64" i="1"/>
  <c r="AW67" i="1"/>
  <c r="E67" i="1"/>
  <c r="D67" i="1"/>
  <c r="C76" i="1"/>
  <c r="W81" i="1"/>
  <c r="G91" i="1"/>
  <c r="I88" i="1"/>
  <c r="AW88" i="1"/>
  <c r="M67" i="1"/>
  <c r="C81" i="1"/>
  <c r="AW78" i="1"/>
  <c r="E78" i="1"/>
  <c r="AW99" i="1"/>
  <c r="AX99" i="1" s="1"/>
  <c r="D99" i="1"/>
  <c r="E99" i="1"/>
  <c r="AM29" i="1"/>
  <c r="K39" i="1"/>
  <c r="AT46" i="1"/>
  <c r="AS54" i="1"/>
  <c r="AT66" i="1"/>
  <c r="AB11" i="1"/>
  <c r="J12" i="1"/>
  <c r="V12" i="1"/>
  <c r="AH12" i="1"/>
  <c r="AT16" i="1"/>
  <c r="Z24" i="1"/>
  <c r="AA24" i="1"/>
  <c r="W29" i="1"/>
  <c r="AI29" i="1"/>
  <c r="M27" i="1"/>
  <c r="AB27" i="1"/>
  <c r="AC32" i="1"/>
  <c r="AH34" i="1"/>
  <c r="AW37" i="1"/>
  <c r="AJ42" i="1"/>
  <c r="AX45" i="1"/>
  <c r="L47" i="1"/>
  <c r="AC47" i="1"/>
  <c r="AB47" i="1"/>
  <c r="L51" i="1"/>
  <c r="AT51" i="1"/>
  <c r="V59" i="1"/>
  <c r="X59" i="1" s="1"/>
  <c r="P57" i="1"/>
  <c r="AU57" i="1"/>
  <c r="AV57" i="1" s="1"/>
  <c r="U62" i="1"/>
  <c r="AO71" i="1"/>
  <c r="AQ70" i="1"/>
  <c r="AT74" i="1"/>
  <c r="AN79" i="1"/>
  <c r="AF86" i="1"/>
  <c r="AH91" i="1"/>
  <c r="T89" i="1"/>
  <c r="AA100" i="1"/>
  <c r="AC100" i="1" s="1"/>
  <c r="P103" i="1"/>
  <c r="AE105" i="1"/>
  <c r="AG103" i="1"/>
  <c r="AD105" i="1"/>
  <c r="M118" i="1"/>
  <c r="AW118" i="1"/>
  <c r="AK89" i="1"/>
  <c r="AD115" i="1"/>
  <c r="AF112" i="1"/>
  <c r="AL24" i="1"/>
  <c r="AH29" i="1"/>
  <c r="K44" i="1"/>
  <c r="AP76" i="1"/>
  <c r="AQ74" i="1"/>
  <c r="I79" i="1"/>
  <c r="AW79" i="1"/>
  <c r="AI12" i="1"/>
  <c r="N24" i="1"/>
  <c r="AJ26" i="1"/>
  <c r="AU28" i="1"/>
  <c r="M36" i="1"/>
  <c r="M41" i="1"/>
  <c r="AW42" i="1"/>
  <c r="M51" i="1"/>
  <c r="O71" i="1"/>
  <c r="Q67" i="1"/>
  <c r="AU70" i="1"/>
  <c r="AU74" i="1"/>
  <c r="AV74" i="1" s="1"/>
  <c r="G81" i="1"/>
  <c r="AI91" i="1"/>
  <c r="G100" i="1"/>
  <c r="I100" i="1" s="1"/>
  <c r="I98" i="1"/>
  <c r="H98" i="1"/>
  <c r="C100" i="1"/>
  <c r="X117" i="1"/>
  <c r="AN47" i="1"/>
  <c r="AK62" i="1"/>
  <c r="J29" i="1"/>
  <c r="Z54" i="1"/>
  <c r="AC51" i="1"/>
  <c r="AB51" i="1"/>
  <c r="AI64" i="1"/>
  <c r="AB98" i="1"/>
  <c r="K12" i="1"/>
  <c r="AN21" i="1"/>
  <c r="Y8" i="1"/>
  <c r="AT17" i="1"/>
  <c r="B24" i="1"/>
  <c r="AB21" i="1"/>
  <c r="M26" i="1"/>
  <c r="Y26" i="1"/>
  <c r="AK26" i="1"/>
  <c r="AC27" i="1"/>
  <c r="AQ27" i="1"/>
  <c r="H28" i="1"/>
  <c r="Z29" i="1"/>
  <c r="Q32" i="1"/>
  <c r="AT32" i="1"/>
  <c r="AB36" i="1"/>
  <c r="AS39" i="1"/>
  <c r="R49" i="1"/>
  <c r="AG46" i="1"/>
  <c r="Q47" i="1"/>
  <c r="P47" i="1"/>
  <c r="AU58" i="1"/>
  <c r="G64" i="1"/>
  <c r="I62" i="1"/>
  <c r="Y62" i="1"/>
  <c r="AF66" i="1"/>
  <c r="P67" i="1"/>
  <c r="D70" i="1"/>
  <c r="M73" i="1"/>
  <c r="K76" i="1"/>
  <c r="AB73" i="1"/>
  <c r="AT73" i="1"/>
  <c r="AG74" i="1"/>
  <c r="AB79" i="1"/>
  <c r="Y102" i="1"/>
  <c r="X102" i="1"/>
  <c r="W105" i="1"/>
  <c r="AK118" i="1"/>
  <c r="M46" i="1"/>
  <c r="V29" i="1"/>
  <c r="L26" i="1"/>
  <c r="L10" i="1"/>
  <c r="AB10" i="1"/>
  <c r="AQ10" i="1"/>
  <c r="P21" i="1"/>
  <c r="Q36" i="1"/>
  <c r="AT36" i="1"/>
  <c r="AN37" i="1"/>
  <c r="AS44" i="1"/>
  <c r="I42" i="1"/>
  <c r="Y42" i="1"/>
  <c r="S49" i="1"/>
  <c r="AF48" i="1"/>
  <c r="Q52" i="1"/>
  <c r="D57" i="1"/>
  <c r="AK57" i="1"/>
  <c r="Y61" i="1"/>
  <c r="AM64" i="1"/>
  <c r="H62" i="1"/>
  <c r="AG66" i="1"/>
  <c r="AC73" i="1"/>
  <c r="AS76" i="1"/>
  <c r="AC79" i="1"/>
  <c r="H102" i="1"/>
  <c r="AW107" i="1"/>
  <c r="R115" i="1"/>
  <c r="T112" i="1"/>
  <c r="G121" i="1"/>
  <c r="H117" i="1"/>
  <c r="AW117" i="1"/>
  <c r="AN118" i="1"/>
  <c r="AL121" i="1"/>
  <c r="AU38" i="1"/>
  <c r="B49" i="1"/>
  <c r="O49" i="1"/>
  <c r="N54" i="1"/>
  <c r="N64" i="1"/>
  <c r="P61" i="1"/>
  <c r="AS64" i="1"/>
  <c r="F71" i="1"/>
  <c r="AK67" i="1"/>
  <c r="AU73" i="1"/>
  <c r="AV73" i="1" s="1"/>
  <c r="D73" i="1"/>
  <c r="T74" i="1"/>
  <c r="R81" i="1"/>
  <c r="T78" i="1"/>
  <c r="N81" i="1"/>
  <c r="P79" i="1"/>
  <c r="AK108" i="1"/>
  <c r="AI110" i="1"/>
  <c r="B54" i="1"/>
  <c r="O64" i="1"/>
  <c r="Q61" i="1"/>
  <c r="AW66" i="1"/>
  <c r="AN66" i="1"/>
  <c r="AW73" i="1"/>
  <c r="E73" i="1"/>
  <c r="F81" i="1"/>
  <c r="H78" i="1"/>
  <c r="AE100" i="1"/>
  <c r="AG98" i="1"/>
  <c r="AF98" i="1"/>
  <c r="AO105" i="1"/>
  <c r="AQ104" i="1"/>
  <c r="R105" i="1"/>
  <c r="AF117" i="1"/>
  <c r="AG117" i="1"/>
  <c r="AE121" i="1"/>
  <c r="Y118" i="1"/>
  <c r="X118" i="1"/>
  <c r="D31" i="1"/>
  <c r="AQ32" i="1"/>
  <c r="C34" i="1"/>
  <c r="AQ36" i="1"/>
  <c r="D41" i="1"/>
  <c r="P41" i="1"/>
  <c r="AB41" i="1"/>
  <c r="AN41" i="1"/>
  <c r="AW46" i="1"/>
  <c r="P46" i="1"/>
  <c r="P51" i="1"/>
  <c r="AF52" i="1"/>
  <c r="B64" i="1"/>
  <c r="E64" i="1" s="1"/>
  <c r="D61" i="1"/>
  <c r="AU63" i="1"/>
  <c r="H66" i="1"/>
  <c r="Y67" i="1"/>
  <c r="U78" i="1"/>
  <c r="S105" i="1"/>
  <c r="AQ46" i="1"/>
  <c r="D51" i="1"/>
  <c r="AF51" i="1"/>
  <c r="AQ51" i="1"/>
  <c r="T52" i="1"/>
  <c r="AB57" i="1"/>
  <c r="E61" i="1"/>
  <c r="AU61" i="1"/>
  <c r="AV61" i="1" s="1"/>
  <c r="H63" i="1"/>
  <c r="I66" i="1"/>
  <c r="Y66" i="1"/>
  <c r="V71" i="1"/>
  <c r="X73" i="1"/>
  <c r="I78" i="1"/>
  <c r="D86" i="1"/>
  <c r="AU100" i="1"/>
  <c r="AV100" i="1" s="1"/>
  <c r="Q102" i="1"/>
  <c r="O105" i="1"/>
  <c r="AW103" i="1"/>
  <c r="E103" i="1"/>
  <c r="X108" i="1"/>
  <c r="R76" i="1"/>
  <c r="AF79" i="1"/>
  <c r="W91" i="1"/>
  <c r="P93" i="1"/>
  <c r="Z96" i="1"/>
  <c r="N115" i="1"/>
  <c r="AG112" i="1"/>
  <c r="AX116" i="1"/>
  <c r="AU118" i="1"/>
  <c r="AV118" i="1" s="1"/>
  <c r="S76" i="1"/>
  <c r="E89" i="1"/>
  <c r="D89" i="1"/>
  <c r="Q93" i="1"/>
  <c r="O96" i="1"/>
  <c r="AU113" i="1"/>
  <c r="AV113" i="1" s="1"/>
  <c r="E113" i="1"/>
  <c r="D113" i="1"/>
  <c r="D62" i="1"/>
  <c r="P62" i="1"/>
  <c r="AB62" i="1"/>
  <c r="AN62" i="1"/>
  <c r="F76" i="1"/>
  <c r="D79" i="1"/>
  <c r="X84" i="1"/>
  <c r="AJ90" i="1"/>
  <c r="AU90" i="1"/>
  <c r="C91" i="1"/>
  <c r="AB99" i="1"/>
  <c r="AL105" i="1"/>
  <c r="AN102" i="1"/>
  <c r="P104" i="1"/>
  <c r="N105" i="1"/>
  <c r="U107" i="1"/>
  <c r="S110" i="1"/>
  <c r="AF108" i="1"/>
  <c r="AH115" i="1"/>
  <c r="AJ112" i="1"/>
  <c r="AW113" i="1"/>
  <c r="AC66" i="1"/>
  <c r="AT67" i="1"/>
  <c r="G76" i="1"/>
  <c r="U73" i="1"/>
  <c r="T85" i="1"/>
  <c r="AM91" i="1"/>
  <c r="E94" i="1"/>
  <c r="AU94" i="1"/>
  <c r="AV94" i="1" s="1"/>
  <c r="D94" i="1"/>
  <c r="P94" i="1"/>
  <c r="AM100" i="1"/>
  <c r="C105" i="1"/>
  <c r="AG108" i="1"/>
  <c r="AT108" i="1"/>
  <c r="Q112" i="1"/>
  <c r="AI115" i="1"/>
  <c r="AK112" i="1"/>
  <c r="AE115" i="1"/>
  <c r="V121" i="1"/>
  <c r="I118" i="1"/>
  <c r="AT118" i="1"/>
  <c r="F121" i="1"/>
  <c r="AM96" i="1"/>
  <c r="AP100" i="1"/>
  <c r="J105" i="1"/>
  <c r="AU102" i="1"/>
  <c r="AV102" i="1" s="1"/>
  <c r="AM105" i="1"/>
  <c r="I103" i="1"/>
  <c r="H103" i="1"/>
  <c r="AN103" i="1"/>
  <c r="AC107" i="1"/>
  <c r="AA110" i="1"/>
  <c r="U112" i="1"/>
  <c r="S115" i="1"/>
  <c r="AS115" i="1"/>
  <c r="AT113" i="1"/>
  <c r="K96" i="1"/>
  <c r="M102" i="1"/>
  <c r="K105" i="1"/>
  <c r="AU104" i="1"/>
  <c r="N110" i="1"/>
  <c r="AU107" i="1"/>
  <c r="AV107" i="1" s="1"/>
  <c r="AM115" i="1"/>
  <c r="J81" i="1"/>
  <c r="V81" i="1"/>
  <c r="AH81" i="1"/>
  <c r="AQ88" i="1"/>
  <c r="AU89" i="1"/>
  <c r="AV89" i="1" s="1"/>
  <c r="H89" i="1"/>
  <c r="Y89" i="1"/>
  <c r="L102" i="1"/>
  <c r="L104" i="1"/>
  <c r="Q107" i="1"/>
  <c r="O110" i="1"/>
  <c r="I112" i="1"/>
  <c r="G115" i="1"/>
  <c r="V115" i="1"/>
  <c r="X112" i="1"/>
  <c r="AN112" i="1"/>
  <c r="AF113" i="1"/>
  <c r="AF118" i="1"/>
  <c r="AG88" i="1"/>
  <c r="M93" i="1"/>
  <c r="AC93" i="1"/>
  <c r="AP96" i="1"/>
  <c r="AQ93" i="1"/>
  <c r="AW98" i="1"/>
  <c r="D98" i="1"/>
  <c r="E98" i="1"/>
  <c r="AS100" i="1"/>
  <c r="AB102" i="1"/>
  <c r="AQ102" i="1"/>
  <c r="L103" i="1"/>
  <c r="P107" i="1"/>
  <c r="H112" i="1"/>
  <c r="Y112" i="1"/>
  <c r="U117" i="1"/>
  <c r="T118" i="1"/>
  <c r="P120" i="1"/>
  <c r="AI96" i="1"/>
  <c r="AK102" i="1"/>
  <c r="B115" i="1"/>
  <c r="AB118" i="1"/>
  <c r="AA121" i="1"/>
  <c r="E93" i="1"/>
  <c r="AW102" i="1"/>
  <c r="AW108" i="1"/>
  <c r="AM110" i="1"/>
  <c r="AU112" i="1"/>
  <c r="AV112" i="1" s="1"/>
  <c r="O121" i="1"/>
  <c r="C96" i="1"/>
  <c r="P98" i="1"/>
  <c r="D102" i="1"/>
  <c r="AK103" i="1"/>
  <c r="H107" i="1"/>
  <c r="D117" i="1"/>
  <c r="P117" i="1"/>
  <c r="AB117" i="1"/>
  <c r="AN117" i="1"/>
  <c r="C121" i="1"/>
  <c r="AT86" i="1"/>
  <c r="D88" i="1"/>
  <c r="U88" i="1"/>
  <c r="AF93" i="1"/>
  <c r="AS96" i="1"/>
  <c r="AI100" i="1"/>
  <c r="E102" i="1"/>
  <c r="Y103" i="1"/>
  <c r="I107" i="1"/>
  <c r="AL115" i="1"/>
  <c r="AQ118" i="1"/>
  <c r="L54" i="1" l="1"/>
  <c r="AB76" i="1"/>
  <c r="T34" i="1"/>
  <c r="AF44" i="1"/>
  <c r="AC24" i="1"/>
  <c r="P29" i="1"/>
  <c r="H44" i="1"/>
  <c r="H39" i="1"/>
  <c r="AJ105" i="1"/>
  <c r="AN71" i="1"/>
  <c r="M49" i="1"/>
  <c r="AJ121" i="1"/>
  <c r="Q110" i="1"/>
  <c r="AV85" i="1"/>
  <c r="AG54" i="1"/>
  <c r="AX63" i="1"/>
  <c r="AV63" i="1"/>
  <c r="AX84" i="1"/>
  <c r="AV84" i="1"/>
  <c r="AX23" i="1"/>
  <c r="AV23" i="1"/>
  <c r="AX38" i="1"/>
  <c r="AV38" i="1"/>
  <c r="L71" i="1"/>
  <c r="AV12" i="1"/>
  <c r="AJ59" i="1"/>
  <c r="Y76" i="1"/>
  <c r="X19" i="1"/>
  <c r="AX18" i="1"/>
  <c r="AV18" i="1"/>
  <c r="AJ76" i="1"/>
  <c r="AX104" i="1"/>
  <c r="AV104" i="1"/>
  <c r="U121" i="1"/>
  <c r="AX95" i="1"/>
  <c r="AV95" i="1"/>
  <c r="AX43" i="1"/>
  <c r="AV43" i="1"/>
  <c r="AX90" i="1"/>
  <c r="AV90" i="1"/>
  <c r="I110" i="1"/>
  <c r="AX80" i="1"/>
  <c r="AV80" i="1"/>
  <c r="AX48" i="1"/>
  <c r="AV48" i="1"/>
  <c r="AX53" i="1"/>
  <c r="AV53" i="1"/>
  <c r="AG91" i="1"/>
  <c r="AB49" i="1"/>
  <c r="AX109" i="1"/>
  <c r="AV109" i="1"/>
  <c r="AX33" i="1"/>
  <c r="AV33" i="1"/>
  <c r="P76" i="1"/>
  <c r="AX120" i="1"/>
  <c r="AV120" i="1"/>
  <c r="M91" i="1"/>
  <c r="AX75" i="1"/>
  <c r="AV75" i="1"/>
  <c r="Y24" i="1"/>
  <c r="AX70" i="1"/>
  <c r="AV70" i="1"/>
  <c r="AX114" i="1"/>
  <c r="AV114" i="1"/>
  <c r="AX83" i="1"/>
  <c r="AV83" i="1"/>
  <c r="AX28" i="1"/>
  <c r="AV28" i="1"/>
  <c r="AX58" i="1"/>
  <c r="AV58" i="1"/>
  <c r="X105" i="1"/>
  <c r="P115" i="1"/>
  <c r="AX42" i="1"/>
  <c r="X34" i="1"/>
  <c r="AB54" i="1"/>
  <c r="AX41" i="1"/>
  <c r="H34" i="1"/>
  <c r="Y49" i="1"/>
  <c r="L121" i="1"/>
  <c r="Q29" i="1"/>
  <c r="Q76" i="1"/>
  <c r="M59" i="1"/>
  <c r="Q96" i="1"/>
  <c r="X115" i="1"/>
  <c r="AJ44" i="1"/>
  <c r="E44" i="1"/>
  <c r="AN121" i="1"/>
  <c r="L64" i="1"/>
  <c r="L19" i="1"/>
  <c r="L81" i="1"/>
  <c r="M76" i="1"/>
  <c r="P13" i="1"/>
  <c r="AB105" i="1"/>
  <c r="X76" i="1"/>
  <c r="AJ71" i="1"/>
  <c r="AF24" i="1"/>
  <c r="AB12" i="1"/>
  <c r="I59" i="1"/>
  <c r="AG96" i="1"/>
  <c r="D71" i="1"/>
  <c r="AF54" i="1"/>
  <c r="Y44" i="1"/>
  <c r="AX32" i="1"/>
  <c r="AK29" i="1"/>
  <c r="H24" i="1"/>
  <c r="AG81" i="1"/>
  <c r="U96" i="1"/>
  <c r="T59" i="1"/>
  <c r="P59" i="1"/>
  <c r="AB96" i="1"/>
  <c r="AF29" i="1"/>
  <c r="D110" i="1"/>
  <c r="AJ39" i="1"/>
  <c r="L96" i="1"/>
  <c r="AN44" i="1"/>
  <c r="AG44" i="1"/>
  <c r="AN81" i="1"/>
  <c r="AX47" i="1"/>
  <c r="I76" i="1"/>
  <c r="Y64" i="1"/>
  <c r="AJ49" i="1"/>
  <c r="P39" i="1"/>
  <c r="X49" i="1"/>
  <c r="Y39" i="1"/>
  <c r="I39" i="1"/>
  <c r="AF59" i="1"/>
  <c r="I34" i="1"/>
  <c r="D121" i="1"/>
  <c r="AN19" i="1"/>
  <c r="E71" i="1"/>
  <c r="AB19" i="1"/>
  <c r="U91" i="1"/>
  <c r="I54" i="1"/>
  <c r="AB81" i="1"/>
  <c r="D44" i="1"/>
  <c r="AC121" i="1"/>
  <c r="P54" i="1"/>
  <c r="Y96" i="1"/>
  <c r="T29" i="1"/>
  <c r="T24" i="1"/>
  <c r="AG71" i="1"/>
  <c r="AK39" i="1"/>
  <c r="Y19" i="1"/>
  <c r="AB29" i="1"/>
  <c r="Q59" i="1"/>
  <c r="H105" i="1"/>
  <c r="AG49" i="1"/>
  <c r="AC110" i="1"/>
  <c r="Y115" i="1"/>
  <c r="T44" i="1"/>
  <c r="X110" i="1"/>
  <c r="AB39" i="1"/>
  <c r="AC12" i="1"/>
  <c r="Y34" i="1"/>
  <c r="M64" i="1"/>
  <c r="M115" i="1"/>
  <c r="I115" i="1"/>
  <c r="U110" i="1"/>
  <c r="AQ105" i="1"/>
  <c r="AF34" i="1"/>
  <c r="L34" i="1"/>
  <c r="Y59" i="1"/>
  <c r="M19" i="1"/>
  <c r="L100" i="1"/>
  <c r="U29" i="1"/>
  <c r="Q39" i="1"/>
  <c r="AF71" i="1"/>
  <c r="AF81" i="1"/>
  <c r="AJ54" i="1"/>
  <c r="AN76" i="1"/>
  <c r="Q12" i="1"/>
  <c r="AN24" i="1"/>
  <c r="AC49" i="1"/>
  <c r="U54" i="1"/>
  <c r="AF96" i="1"/>
  <c r="Q44" i="1"/>
  <c r="U59" i="1"/>
  <c r="L110" i="1"/>
  <c r="AB71" i="1"/>
  <c r="AU110" i="1"/>
  <c r="AV110" i="1" s="1"/>
  <c r="AT121" i="1"/>
  <c r="AC91" i="1"/>
  <c r="Q54" i="1"/>
  <c r="P100" i="1"/>
  <c r="H64" i="1"/>
  <c r="Q121" i="1"/>
  <c r="AB115" i="1"/>
  <c r="AJ24" i="1"/>
  <c r="H115" i="1"/>
  <c r="AF91" i="1"/>
  <c r="AT54" i="1"/>
  <c r="AC19" i="1"/>
  <c r="AC59" i="1"/>
  <c r="AN91" i="1"/>
  <c r="AC44" i="1"/>
  <c r="AT64" i="1"/>
  <c r="T49" i="1"/>
  <c r="N122" i="1"/>
  <c r="N123" i="1" s="1"/>
  <c r="N124" i="1" s="1"/>
  <c r="P34" i="1"/>
  <c r="AK19" i="1"/>
  <c r="AC34" i="1"/>
  <c r="Y110" i="1"/>
  <c r="AG110" i="1"/>
  <c r="I71" i="1"/>
  <c r="M121" i="1"/>
  <c r="AC105" i="1"/>
  <c r="T96" i="1"/>
  <c r="AK105" i="1"/>
  <c r="AF64" i="1"/>
  <c r="AN59" i="1"/>
  <c r="X54" i="1"/>
  <c r="L24" i="1"/>
  <c r="AC29" i="1"/>
  <c r="AK121" i="1"/>
  <c r="X81" i="1"/>
  <c r="Q105" i="1"/>
  <c r="AX61" i="1"/>
  <c r="AJ34" i="1"/>
  <c r="P12" i="1"/>
  <c r="AN54" i="1"/>
  <c r="AB110" i="1"/>
  <c r="AX52" i="1"/>
  <c r="AJ64" i="1"/>
  <c r="AG29" i="1"/>
  <c r="L59" i="1"/>
  <c r="AW64" i="1"/>
  <c r="AZ64" i="1" s="1"/>
  <c r="H71" i="1"/>
  <c r="AN49" i="1"/>
  <c r="P91" i="1"/>
  <c r="M54" i="1"/>
  <c r="AC64" i="1"/>
  <c r="U39" i="1"/>
  <c r="M96" i="1"/>
  <c r="AC96" i="1"/>
  <c r="P64" i="1"/>
  <c r="T110" i="1"/>
  <c r="AX56" i="1"/>
  <c r="AX37" i="1"/>
  <c r="Q13" i="1"/>
  <c r="AX79" i="1"/>
  <c r="AQ34" i="1"/>
  <c r="AX78" i="1"/>
  <c r="AX118" i="1"/>
  <c r="AK44" i="1"/>
  <c r="AX66" i="1"/>
  <c r="P44" i="1"/>
  <c r="AG105" i="1"/>
  <c r="AQ71" i="1"/>
  <c r="I44" i="1"/>
  <c r="T121" i="1"/>
  <c r="AX102" i="1"/>
  <c r="H81" i="1"/>
  <c r="P81" i="1"/>
  <c r="Y105" i="1"/>
  <c r="AO122" i="1"/>
  <c r="AO123" i="1" s="1"/>
  <c r="AO124" i="1" s="1"/>
  <c r="X96" i="1"/>
  <c r="AX8" i="1"/>
  <c r="AX21" i="1"/>
  <c r="AX10" i="1"/>
  <c r="AG34" i="1"/>
  <c r="Z13" i="1"/>
  <c r="AC13" i="1" s="1"/>
  <c r="AK110" i="1"/>
  <c r="AG39" i="1"/>
  <c r="M39" i="1"/>
  <c r="AX17" i="1"/>
  <c r="AT34" i="1"/>
  <c r="L105" i="1"/>
  <c r="AK115" i="1"/>
  <c r="U34" i="1"/>
  <c r="X24" i="1"/>
  <c r="AK54" i="1"/>
  <c r="U24" i="1"/>
  <c r="T71" i="1"/>
  <c r="AW44" i="1"/>
  <c r="AZ44" i="1" s="1"/>
  <c r="X121" i="1"/>
  <c r="AT100" i="1"/>
  <c r="T76" i="1"/>
  <c r="U105" i="1"/>
  <c r="Q71" i="1"/>
  <c r="AF115" i="1"/>
  <c r="AJ91" i="1"/>
  <c r="D76" i="1"/>
  <c r="H91" i="1"/>
  <c r="AQ29" i="1"/>
  <c r="L115" i="1"/>
  <c r="AN96" i="1"/>
  <c r="AF49" i="1"/>
  <c r="AX93" i="1"/>
  <c r="AK59" i="1"/>
  <c r="T115" i="1"/>
  <c r="Y29" i="1"/>
  <c r="AB44" i="1"/>
  <c r="AQ44" i="1"/>
  <c r="I64" i="1"/>
  <c r="L49" i="1"/>
  <c r="AC71" i="1"/>
  <c r="P49" i="1"/>
  <c r="AG76" i="1"/>
  <c r="AC81" i="1"/>
  <c r="AC76" i="1"/>
  <c r="AF110" i="1"/>
  <c r="AG59" i="1"/>
  <c r="M12" i="1"/>
  <c r="K13" i="1"/>
  <c r="AE13" i="1"/>
  <c r="AG12" i="1"/>
  <c r="AX113" i="1"/>
  <c r="M71" i="1"/>
  <c r="F13" i="1"/>
  <c r="I13" i="1" s="1"/>
  <c r="H12" i="1"/>
  <c r="AU59" i="1"/>
  <c r="AV59" i="1" s="1"/>
  <c r="D59" i="1"/>
  <c r="AS122" i="1"/>
  <c r="Z122" i="1"/>
  <c r="V122" i="1"/>
  <c r="Q49" i="1"/>
  <c r="AW100" i="1"/>
  <c r="AZ100" i="1" s="1"/>
  <c r="E100" i="1"/>
  <c r="D100" i="1"/>
  <c r="U64" i="1"/>
  <c r="L39" i="1"/>
  <c r="T39" i="1"/>
  <c r="U81" i="1"/>
  <c r="T81" i="1"/>
  <c r="AX103" i="1"/>
  <c r="AX62" i="1"/>
  <c r="Y100" i="1"/>
  <c r="X100" i="1"/>
  <c r="AT105" i="1"/>
  <c r="AX22" i="1"/>
  <c r="AJ12" i="1"/>
  <c r="AH13" i="1"/>
  <c r="X12" i="1"/>
  <c r="V13" i="1"/>
  <c r="AS13" i="1"/>
  <c r="AX31" i="1"/>
  <c r="AP13" i="1"/>
  <c r="AW49" i="1"/>
  <c r="AZ49" i="1" s="1"/>
  <c r="I49" i="1"/>
  <c r="AC115" i="1"/>
  <c r="D96" i="1"/>
  <c r="AU96" i="1"/>
  <c r="AV96" i="1" s="1"/>
  <c r="AE122" i="1"/>
  <c r="AG19" i="1"/>
  <c r="AG24" i="1"/>
  <c r="P110" i="1"/>
  <c r="H76" i="1"/>
  <c r="AU91" i="1"/>
  <c r="AV91" i="1" s="1"/>
  <c r="Y91" i="1"/>
  <c r="X91" i="1"/>
  <c r="AX73" i="1"/>
  <c r="U49" i="1"/>
  <c r="AT39" i="1"/>
  <c r="AU24" i="1"/>
  <c r="AV24" i="1" s="1"/>
  <c r="D24" i="1"/>
  <c r="AK91" i="1"/>
  <c r="AC54" i="1"/>
  <c r="AX57" i="1"/>
  <c r="L12" i="1"/>
  <c r="J13" i="1"/>
  <c r="AW59" i="1"/>
  <c r="AZ59" i="1" s="1"/>
  <c r="E59" i="1"/>
  <c r="Q34" i="1"/>
  <c r="M24" i="1"/>
  <c r="AU81" i="1"/>
  <c r="AV81" i="1" s="1"/>
  <c r="D81" i="1"/>
  <c r="U44" i="1"/>
  <c r="Y121" i="1"/>
  <c r="G122" i="1"/>
  <c r="G123" i="1" s="1"/>
  <c r="I19" i="1"/>
  <c r="H19" i="1"/>
  <c r="AB100" i="1"/>
  <c r="AT29" i="1"/>
  <c r="AX51" i="1"/>
  <c r="P96" i="1"/>
  <c r="AK71" i="1"/>
  <c r="AW24" i="1"/>
  <c r="AZ24" i="1" s="1"/>
  <c r="AJ100" i="1"/>
  <c r="AK100" i="1"/>
  <c r="O122" i="1"/>
  <c r="Q19" i="1"/>
  <c r="D12" i="1"/>
  <c r="B13" i="1"/>
  <c r="AU12" i="1"/>
  <c r="AJ115" i="1"/>
  <c r="AG121" i="1"/>
  <c r="AF121" i="1"/>
  <c r="AB91" i="1"/>
  <c r="I29" i="1"/>
  <c r="H29" i="1"/>
  <c r="AW71" i="1"/>
  <c r="AZ71" i="1" s="1"/>
  <c r="E96" i="1"/>
  <c r="AW96" i="1"/>
  <c r="AZ96" i="1" s="1"/>
  <c r="AK64" i="1"/>
  <c r="AX88" i="1"/>
  <c r="AF12" i="1"/>
  <c r="AL13" i="1"/>
  <c r="AN12" i="1"/>
  <c r="D49" i="1"/>
  <c r="AU49" i="1"/>
  <c r="AV49" i="1" s="1"/>
  <c r="AK12" i="1"/>
  <c r="AI13" i="1"/>
  <c r="AA122" i="1"/>
  <c r="AL122" i="1"/>
  <c r="AX112" i="1"/>
  <c r="T105" i="1"/>
  <c r="AM13" i="1"/>
  <c r="E121" i="1"/>
  <c r="AW121" i="1"/>
  <c r="AZ121" i="1" s="1"/>
  <c r="AU121" i="1"/>
  <c r="AV121" i="1" s="1"/>
  <c r="H121" i="1"/>
  <c r="P105" i="1"/>
  <c r="L29" i="1"/>
  <c r="M29" i="1"/>
  <c r="AK34" i="1"/>
  <c r="H49" i="1"/>
  <c r="D34" i="1"/>
  <c r="AU34" i="1"/>
  <c r="AV34" i="1" s="1"/>
  <c r="AK49" i="1"/>
  <c r="M105" i="1"/>
  <c r="AN100" i="1"/>
  <c r="L76" i="1"/>
  <c r="AW34" i="1"/>
  <c r="AZ34" i="1" s="1"/>
  <c r="E34" i="1"/>
  <c r="AU54" i="1"/>
  <c r="AV54" i="1" s="1"/>
  <c r="D54" i="1"/>
  <c r="I81" i="1"/>
  <c r="AQ76" i="1"/>
  <c r="AU76" i="1"/>
  <c r="AV76" i="1" s="1"/>
  <c r="AK24" i="1"/>
  <c r="AB64" i="1"/>
  <c r="AN110" i="1"/>
  <c r="AX117" i="1"/>
  <c r="AX108" i="1"/>
  <c r="AN29" i="1"/>
  <c r="C122" i="1"/>
  <c r="E19" i="1"/>
  <c r="AW19" i="1"/>
  <c r="AZ19" i="1" s="1"/>
  <c r="AN64" i="1"/>
  <c r="AK76" i="1"/>
  <c r="AG64" i="1"/>
  <c r="AQ96" i="1"/>
  <c r="AT44" i="1"/>
  <c r="E54" i="1"/>
  <c r="AW54" i="1"/>
  <c r="AZ54" i="1" s="1"/>
  <c r="AT96" i="1"/>
  <c r="E29" i="1"/>
  <c r="AW29" i="1"/>
  <c r="AZ29" i="1" s="1"/>
  <c r="AW91" i="1"/>
  <c r="AZ91" i="1" s="1"/>
  <c r="E91" i="1"/>
  <c r="P24" i="1"/>
  <c r="Q24" i="1"/>
  <c r="L44" i="1"/>
  <c r="AU44" i="1"/>
  <c r="AV44" i="1" s="1"/>
  <c r="I12" i="1"/>
  <c r="AB24" i="1"/>
  <c r="AU71" i="1"/>
  <c r="AV71" i="1" s="1"/>
  <c r="K122" i="1"/>
  <c r="AK96" i="1"/>
  <c r="AJ96" i="1"/>
  <c r="U115" i="1"/>
  <c r="D91" i="1"/>
  <c r="D39" i="1"/>
  <c r="AU39" i="1"/>
  <c r="AV39" i="1" s="1"/>
  <c r="T86" i="1"/>
  <c r="AU86" i="1"/>
  <c r="R13" i="1"/>
  <c r="U13" i="1" s="1"/>
  <c r="T12" i="1"/>
  <c r="I91" i="1"/>
  <c r="B122" i="1"/>
  <c r="D19" i="1"/>
  <c r="AU19" i="1"/>
  <c r="AV19" i="1" s="1"/>
  <c r="AP122" i="1"/>
  <c r="AX107" i="1"/>
  <c r="Y81" i="1"/>
  <c r="AN115" i="1"/>
  <c r="AW105" i="1"/>
  <c r="AZ105" i="1" s="1"/>
  <c r="E105" i="1"/>
  <c r="D105" i="1"/>
  <c r="P71" i="1"/>
  <c r="E49" i="1"/>
  <c r="AW110" i="1"/>
  <c r="AZ110" i="1" s="1"/>
  <c r="E81" i="1"/>
  <c r="AW81" i="1"/>
  <c r="AZ81" i="1" s="1"/>
  <c r="AX89" i="1"/>
  <c r="T100" i="1"/>
  <c r="U76" i="1"/>
  <c r="Q115" i="1"/>
  <c r="AU64" i="1"/>
  <c r="AV64" i="1" s="1"/>
  <c r="D64" i="1"/>
  <c r="AG100" i="1"/>
  <c r="AF100" i="1"/>
  <c r="AX74" i="1"/>
  <c r="M44" i="1"/>
  <c r="AF105" i="1"/>
  <c r="AQ100" i="1"/>
  <c r="AW115" i="1"/>
  <c r="AZ115" i="1" s="1"/>
  <c r="E115" i="1"/>
  <c r="F122" i="1"/>
  <c r="R122" i="1"/>
  <c r="AB34" i="1"/>
  <c r="AX16" i="1"/>
  <c r="AU29" i="1"/>
  <c r="AV29" i="1" s="1"/>
  <c r="AC39" i="1"/>
  <c r="U12" i="1"/>
  <c r="Y12" i="1"/>
  <c r="W13" i="1"/>
  <c r="AU115" i="1"/>
  <c r="AV115" i="1" s="1"/>
  <c r="D115" i="1"/>
  <c r="AN34" i="1"/>
  <c r="AX94" i="1"/>
  <c r="Q81" i="1"/>
  <c r="AX9" i="1"/>
  <c r="AU105" i="1"/>
  <c r="AV105" i="1" s="1"/>
  <c r="Q64" i="1"/>
  <c r="AW76" i="1"/>
  <c r="AZ76" i="1" s="1"/>
  <c r="E76" i="1"/>
  <c r="AX26" i="1"/>
  <c r="AX36" i="1"/>
  <c r="AT115" i="1"/>
  <c r="H100" i="1"/>
  <c r="X39" i="1"/>
  <c r="E12" i="1"/>
  <c r="C13" i="1"/>
  <c r="AW12" i="1"/>
  <c r="H54" i="1"/>
  <c r="W122" i="1"/>
  <c r="AM122" i="1"/>
  <c r="AJ81" i="1"/>
  <c r="AK81" i="1"/>
  <c r="AG115" i="1"/>
  <c r="AN105" i="1"/>
  <c r="AB121" i="1"/>
  <c r="X71" i="1"/>
  <c r="Y71" i="1"/>
  <c r="P121" i="1"/>
  <c r="I121" i="1"/>
  <c r="X29" i="1"/>
  <c r="AT76" i="1"/>
  <c r="AJ29" i="1"/>
  <c r="AD122" i="1"/>
  <c r="AF19" i="1"/>
  <c r="AT81" i="1"/>
  <c r="J122" i="1"/>
  <c r="AX67" i="1"/>
  <c r="AR124" i="1"/>
  <c r="S122" i="1"/>
  <c r="U19" i="1"/>
  <c r="D29" i="1"/>
  <c r="AH122" i="1"/>
  <c r="AJ19" i="1"/>
  <c r="T19" i="1"/>
  <c r="Y54" i="1"/>
  <c r="E24" i="1"/>
  <c r="M81" i="1"/>
  <c r="AF76" i="1"/>
  <c r="X44" i="1"/>
  <c r="AJ110" i="1"/>
  <c r="U71" i="1"/>
  <c r="AX46" i="1"/>
  <c r="AI122" i="1"/>
  <c r="H96" i="1"/>
  <c r="I96" i="1"/>
  <c r="AX98" i="1"/>
  <c r="E39" i="1"/>
  <c r="AW39" i="1"/>
  <c r="AZ39" i="1" s="1"/>
  <c r="P19" i="1"/>
  <c r="I24" i="1"/>
  <c r="AX27" i="1"/>
  <c r="AJ122" i="1" l="1"/>
  <c r="AX86" i="1"/>
  <c r="AV86" i="1"/>
  <c r="AV122" i="1"/>
  <c r="P122" i="1"/>
  <c r="H122" i="1"/>
  <c r="AX110" i="1"/>
  <c r="T122" i="1"/>
  <c r="AX64" i="1"/>
  <c r="AX121" i="1"/>
  <c r="AB13" i="1"/>
  <c r="AX19" i="1"/>
  <c r="AX29" i="1"/>
  <c r="AX59" i="1"/>
  <c r="AX115" i="1"/>
  <c r="AX44" i="1"/>
  <c r="AX34" i="1"/>
  <c r="X122" i="1"/>
  <c r="M122" i="1"/>
  <c r="AX39" i="1"/>
  <c r="AX81" i="1"/>
  <c r="AB122" i="1"/>
  <c r="AX71" i="1"/>
  <c r="AX12" i="1"/>
  <c r="AW122" i="1"/>
  <c r="E122" i="1"/>
  <c r="AS123" i="1"/>
  <c r="AT13" i="1"/>
  <c r="AF122" i="1"/>
  <c r="AD123" i="1"/>
  <c r="G124" i="1"/>
  <c r="AG122" i="1"/>
  <c r="AX54" i="1"/>
  <c r="AN122" i="1"/>
  <c r="B123" i="1"/>
  <c r="D13" i="1"/>
  <c r="AU13" i="1"/>
  <c r="AC122" i="1"/>
  <c r="AA123" i="1"/>
  <c r="AT122" i="1"/>
  <c r="AX105" i="1"/>
  <c r="Z123" i="1"/>
  <c r="AI123" i="1"/>
  <c r="AK13" i="1"/>
  <c r="AQ122" i="1"/>
  <c r="AH123" i="1"/>
  <c r="AJ13" i="1"/>
  <c r="AX100" i="1"/>
  <c r="AM123" i="1"/>
  <c r="AX24" i="1"/>
  <c r="AX49" i="1"/>
  <c r="Q122" i="1"/>
  <c r="O123" i="1"/>
  <c r="R123" i="1"/>
  <c r="T13" i="1"/>
  <c r="V123" i="1"/>
  <c r="X13" i="1"/>
  <c r="Y122" i="1"/>
  <c r="U122" i="1"/>
  <c r="S123" i="1"/>
  <c r="AX91" i="1"/>
  <c r="AP123" i="1"/>
  <c r="AQ13" i="1"/>
  <c r="F123" i="1"/>
  <c r="I123" i="1" s="1"/>
  <c r="H13" i="1"/>
  <c r="D122" i="1"/>
  <c r="AU122" i="1"/>
  <c r="AL123" i="1"/>
  <c r="AN13" i="1"/>
  <c r="AE123" i="1"/>
  <c r="AG13" i="1"/>
  <c r="AF13" i="1"/>
  <c r="AK122" i="1"/>
  <c r="W123" i="1"/>
  <c r="Y13" i="1"/>
  <c r="AX96" i="1"/>
  <c r="M13" i="1"/>
  <c r="K123" i="1"/>
  <c r="C123" i="1"/>
  <c r="E13" i="1"/>
  <c r="AW13" i="1"/>
  <c r="I122" i="1"/>
  <c r="L13" i="1"/>
  <c r="J123" i="1"/>
  <c r="L122" i="1"/>
  <c r="AX76" i="1"/>
  <c r="AV123" i="1" l="1"/>
  <c r="AX122" i="1"/>
  <c r="AX13" i="1"/>
  <c r="M123" i="1"/>
  <c r="K124" i="1"/>
  <c r="AC123" i="1"/>
  <c r="AA124" i="1"/>
  <c r="Y123" i="1"/>
  <c r="W124" i="1"/>
  <c r="Y124" i="1" s="1"/>
  <c r="Q123" i="1"/>
  <c r="O124" i="1"/>
  <c r="P123" i="1"/>
  <c r="AI124" i="1"/>
  <c r="AK123" i="1"/>
  <c r="AN123" i="1"/>
  <c r="AL124" i="1"/>
  <c r="X123" i="1"/>
  <c r="V124" i="1"/>
  <c r="H123" i="1"/>
  <c r="F124" i="1"/>
  <c r="H124" i="1" s="1"/>
  <c r="AS124" i="1"/>
  <c r="AT123" i="1"/>
  <c r="U123" i="1"/>
  <c r="S124" i="1"/>
  <c r="U124" i="1" s="1"/>
  <c r="AH124" i="1"/>
  <c r="AJ124" i="1" s="1"/>
  <c r="AJ123" i="1"/>
  <c r="AD124" i="1"/>
  <c r="AF123" i="1"/>
  <c r="R124" i="1"/>
  <c r="T123" i="1"/>
  <c r="L123" i="1"/>
  <c r="J124" i="1"/>
  <c r="L124" i="1" s="1"/>
  <c r="AB123" i="1"/>
  <c r="Z124" i="1"/>
  <c r="AB124" i="1" s="1"/>
  <c r="AP124" i="1"/>
  <c r="AQ123" i="1"/>
  <c r="D123" i="1"/>
  <c r="B124" i="1"/>
  <c r="AU123" i="1"/>
  <c r="E123" i="1"/>
  <c r="C124" i="1"/>
  <c r="AW123" i="1"/>
  <c r="AE124" i="1"/>
  <c r="AG123" i="1"/>
  <c r="AM124" i="1"/>
  <c r="AG124" i="1" l="1"/>
  <c r="AQ124" i="1"/>
  <c r="AT124" i="1"/>
  <c r="AC124" i="1"/>
  <c r="I124" i="1"/>
  <c r="AK124" i="1"/>
  <c r="Q124" i="1"/>
  <c r="P124" i="1"/>
  <c r="AW124" i="1"/>
  <c r="E124" i="1"/>
  <c r="X124" i="1"/>
  <c r="M124" i="1"/>
  <c r="T124" i="1"/>
  <c r="AX123" i="1"/>
  <c r="AU124" i="1"/>
  <c r="D124" i="1"/>
  <c r="AF124" i="1"/>
  <c r="AN124" i="1"/>
  <c r="AX124" i="1" l="1"/>
</calcChain>
</file>

<file path=xl/sharedStrings.xml><?xml version="1.0" encoding="utf-8"?>
<sst xmlns="http://schemas.openxmlformats.org/spreadsheetml/2006/main" count="226" uniqueCount="184">
  <si>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</si>
  <si>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</si>
  <si>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</si>
  <si>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</si>
  <si>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</si>
  <si>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</si>
  <si>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</si>
  <si>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</si>
  <si>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</si>
  <si>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</si>
  <si>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</si>
  <si>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</si>
  <si>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</si>
  <si>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</si>
  <si>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</si>
  <si>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</si>
  <si>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</si>
  <si>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</si>
  <si>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</si>
  <si>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4030-00 MCRS-MRS Grant</t>
  </si>
  <si>
    <t xml:space="preserve">   Sales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</si>
  <si>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</si>
  <si>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</si>
  <si>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</si>
  <si>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</si>
  <si>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</si>
  <si>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</si>
  <si>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</si>
  <si>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</si>
  <si>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</si>
  <si>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</si>
  <si>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</si>
  <si>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</si>
  <si>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</si>
  <si>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</si>
  <si>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</si>
  <si>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</si>
  <si>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</si>
  <si>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</si>
  <si>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</si>
  <si>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</si>
  <si>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</si>
  <si>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</si>
  <si>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</si>
  <si>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</si>
  <si>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</si>
  <si>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</si>
  <si>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</si>
  <si>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</si>
  <si>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</si>
  <si>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</si>
  <si>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</si>
  <si>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</si>
  <si>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</si>
  <si>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</si>
  <si>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</si>
  <si>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</si>
  <si>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</si>
  <si>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</si>
  <si>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</si>
  <si>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</si>
  <si>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</si>
  <si>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</si>
  <si>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</si>
  <si>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</si>
  <si>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</si>
  <si>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</si>
  <si>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</si>
  <si>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</si>
  <si>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</si>
  <si>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</si>
  <si>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</si>
  <si>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</si>
  <si>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</si>
  <si>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</si>
  <si>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</si>
  <si>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</si>
  <si>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</si>
  <si>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</si>
  <si>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</si>
  <si>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</si>
  <si>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</si>
  <si>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</si>
  <si>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</si>
  <si>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</si>
  <si>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</si>
  <si>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</si>
  <si>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</si>
  <si>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</si>
  <si>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6400-00 Postage</t>
  </si>
  <si>
    <t xml:space="preserve">      6400-01 Postage-MRS</t>
  </si>
  <si>
    <t xml:space="preserve">      6400-02 Postage-BSBP</t>
  </si>
  <si>
    <t xml:space="preserve">      6400-99 Postage-Unallocated</t>
  </si>
  <si>
    <t xml:space="preserve">   Total 6400-00 Postage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</si>
  <si>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</si>
  <si>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</si>
  <si>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</si>
  <si>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</si>
  <si>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</si>
  <si>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</si>
  <si>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</si>
  <si>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</si>
  <si>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</si>
  <si>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</si>
  <si>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</si>
  <si>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</si>
  <si>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</si>
  <si>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</si>
  <si>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</si>
  <si>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</si>
  <si>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</si>
  <si>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</si>
  <si>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</si>
  <si>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</si>
  <si>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</si>
  <si>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</si>
  <si>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   7100-99 Council Meeting-Unallocated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</si>
  <si>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</si>
  <si>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</si>
  <si>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</si>
  <si>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</si>
  <si>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</si>
  <si>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</si>
  <si>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</si>
  <si>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</si>
  <si>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</si>
  <si>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</si>
  <si>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</si>
  <si>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</si>
  <si>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</si>
  <si>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</si>
  <si>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Michigan Statewide Independent Living Corp</t>
  </si>
  <si>
    <t>Actual- THRU 10 Months</t>
  </si>
  <si>
    <t>Actual - Annualized</t>
  </si>
  <si>
    <t>Budget- 2023</t>
  </si>
  <si>
    <t>Budget - 2024</t>
  </si>
  <si>
    <t>Tracy @ 29.81 per hour</t>
  </si>
  <si>
    <t>Steve @ 48.45 per hour</t>
  </si>
  <si>
    <t>Calculation Amounts</t>
  </si>
  <si>
    <t>Notes</t>
  </si>
  <si>
    <t>Wages @6.2%</t>
  </si>
  <si>
    <t>Wages @1.45%</t>
  </si>
  <si>
    <t>Dental @ current plus 4% (estimate)</t>
  </si>
  <si>
    <t>Less; employee contribution</t>
  </si>
  <si>
    <t>Audit Fees - Same as 2023</t>
  </si>
  <si>
    <t xml:space="preserve"> </t>
  </si>
  <si>
    <t>BCBS - Current plus 4.42% per carrier</t>
  </si>
  <si>
    <t>Less_ Employee contribution</t>
  </si>
  <si>
    <t>Accounting - Same as 2023, plus 4%</t>
  </si>
  <si>
    <t>Tracy Cellphone and Internet</t>
  </si>
  <si>
    <t>Prime Storage (estimated 4% increase)</t>
  </si>
  <si>
    <t>SBA</t>
  </si>
  <si>
    <t>APRIL Membership</t>
  </si>
  <si>
    <t>MNA</t>
  </si>
  <si>
    <t>Microsoft License (1901 in '23, estimate for '24</t>
  </si>
  <si>
    <t>Budget Worksheet</t>
  </si>
  <si>
    <t>FY 2024</t>
  </si>
  <si>
    <t>Adobe License</t>
  </si>
  <si>
    <t>Zoom ($40 per month)</t>
  </si>
  <si>
    <t>BCTC (Steve's internet) $70 per month plus 4%</t>
  </si>
  <si>
    <t>Steve Verizon phone($146 per month)</t>
  </si>
  <si>
    <t>Line2 charge $60.19 per month</t>
  </si>
  <si>
    <t>Retailers Insurance (617 for '23 plus 4%)</t>
  </si>
  <si>
    <t>USLI - Directors and Officer (854 for '23 plus 4%)</t>
  </si>
  <si>
    <t>Hartford - Liability and Property (898 for '23 plus 4%)</t>
  </si>
  <si>
    <t>UNUM - (337.08 for '23 per month plus 4%)</t>
  </si>
  <si>
    <t>Change ('24 vs. '23)</t>
  </si>
  <si>
    <t>Squarespace</t>
  </si>
  <si>
    <t>Survey Monkey</t>
  </si>
  <si>
    <t>Add 3% COLA - Consistent with State for 10/1</t>
  </si>
  <si>
    <t>Will be the same as 2023</t>
  </si>
  <si>
    <t>Wages @ 4% matching (consistent with State of Michigan)</t>
  </si>
  <si>
    <t>3% matching of employee contributions</t>
  </si>
  <si>
    <t>Minimal postage</t>
  </si>
  <si>
    <t>Same as 2023 for council meetings, etc. support</t>
  </si>
  <si>
    <t>National SILC training/ Registration</t>
  </si>
  <si>
    <t>Estimated Travel expense</t>
  </si>
  <si>
    <t>Policy change related to board member reimbursement</t>
  </si>
  <si>
    <t>Consistent with 2023</t>
  </si>
  <si>
    <t>Re-con Conference (Outreach)</t>
  </si>
  <si>
    <t>Idea 39</t>
  </si>
  <si>
    <t>NASILC</t>
  </si>
  <si>
    <t>Barry country chamber of commerce</t>
  </si>
  <si>
    <t>HSA contribution @$4,150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</si>
</sst>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0" fontId="5" fillId="0" borderId="0" xfId="0" applyNumberFormat="1" applyFont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0" fontId="4" fillId="0" borderId="2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10" fontId="4" fillId="0" borderId="3" xfId="0" applyNumberFormat="1" applyFont="1" applyBorder="1" applyAlignment="1">
      <alignment horizontal="right" wrapText="1"/>
    </xf>
    <xf numFmtId="4" fontId="0" fillId="0" borderId="0" xfId="0" applyNumberFormat="1"/>
    <xf numFmtId="37" fontId="5" fillId="0" borderId="0" xfId="0" applyNumberFormat="1" applyFont="1" applyAlignment="1">
      <alignment wrapText="1"/>
    </xf>
    <xf numFmtId="37" fontId="0" fillId="0" borderId="0" xfId="0" applyNumberFormat="1"/>
    <xf numFmtId="37" fontId="5" fillId="0" borderId="0" xfId="0" applyNumberFormat="1" applyFont="1" applyAlignment="1">
      <alignment horizontal="right" wrapText="1"/>
    </xf>
    <xf numFmtId="37" fontId="4" fillId="0" borderId="2" xfId="0" applyNumberFormat="1" applyFont="1" applyBorder="1" applyAlignment="1">
      <alignment horizontal="right" wrapText="1"/>
    </xf>
    <xf numFmtId="37" fontId="4" fillId="0" borderId="3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4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37" fontId="5" fillId="0" borderId="8" xfId="0" applyNumberFormat="1" applyFont="1" applyBorder="1" applyAlignment="1">
      <alignment wrapText="1"/>
    </xf>
    <xf numFmtId="37" fontId="5" fillId="0" borderId="9" xfId="0" applyNumberFormat="1" applyFont="1" applyBorder="1" applyAlignment="1">
      <alignment wrapText="1"/>
    </xf>
    <xf numFmtId="37" fontId="5" fillId="0" borderId="8" xfId="0" applyNumberFormat="1" applyFont="1" applyBorder="1" applyAlignment="1">
      <alignment horizontal="right" wrapText="1"/>
    </xf>
    <xf numFmtId="37" fontId="5" fillId="0" borderId="9" xfId="0" applyNumberFormat="1" applyFont="1" applyBorder="1" applyAlignment="1">
      <alignment horizontal="right" wrapText="1"/>
    </xf>
    <xf numFmtId="37" fontId="4" fillId="0" borderId="10" xfId="0" applyNumberFormat="1" applyFont="1" applyBorder="1" applyAlignment="1">
      <alignment horizontal="right" wrapText="1"/>
    </xf>
    <xf numFmtId="37" fontId="4" fillId="0" borderId="11" xfId="0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7" fontId="4" fillId="0" borderId="13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37" fontId="0" fillId="0" borderId="8" xfId="0" applyNumberFormat="1" applyBorder="1"/>
    <xf numFmtId="37" fontId="0" fillId="0" borderId="9" xfId="0" applyNumberFormat="1" applyBorder="1"/>
    <xf numFmtId="37" fontId="7" fillId="0" borderId="9" xfId="0" applyNumberFormat="1" applyFont="1" applyBorder="1" applyAlignment="1">
      <alignment horizontal="right" wrapText="1"/>
    </xf>
    <xf numFmtId="37" fontId="4" fillId="0" borderId="16" xfId="0" applyNumberFormat="1" applyFont="1" applyBorder="1" applyAlignment="1">
      <alignment horizontal="right" wrapText="1"/>
    </xf>
    <xf numFmtId="37" fontId="0" fillId="0" borderId="16" xfId="0" applyNumberFormat="1" applyBorder="1"/>
    <xf numFmtId="0" fontId="10" fillId="0" borderId="7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37" fontId="12" fillId="0" borderId="0" xfId="0" applyNumberFormat="1" applyFont="1"/>
    <xf numFmtId="37" fontId="2" fillId="0" borderId="0" xfId="0" applyNumberFormat="1" applyFont="1"/>
    <xf numFmtId="37" fontId="1" fillId="0" borderId="0" xfId="0" applyNumberFormat="1" applyFont="1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25"/>
  <sheetViews>
    <sheetView tabSelected="1" workbookViewId="0">
      <pane xSplit="46" ySplit="6" topLeftCell="AU28" activePane="bottomRight" state="frozen"/>
      <selection pane="topRight" activeCell="AU1" sqref="AU1"/>
      <selection pane="bottomLeft" activeCell="A7" sqref="A7"/>
      <selection pane="bottomRight" activeCell="BA42" sqref="BA42"/>
    </sheetView>
  </sheetViews>
  <sheetFormatPr defaultRowHeight="15" x14ac:dyDescent="0.25"/>
  <cols>
    <col min="1" max="1" width="30.5703125" customWidth="1"/>
    <col min="2" max="3" width="9.42578125" hidden="1" customWidth="1"/>
    <col min="4" max="4" width="11.140625" hidden="1" customWidth="1"/>
    <col min="5" max="5" width="7.7109375" hidden="1" customWidth="1"/>
    <col min="6" max="7" width="9.42578125" hidden="1" customWidth="1"/>
    <col min="8" max="8" width="11.140625" hidden="1" customWidth="1"/>
    <col min="9" max="9" width="7.7109375" hidden="1" customWidth="1"/>
    <col min="10" max="11" width="9.42578125" hidden="1" customWidth="1"/>
    <col min="12" max="12" width="10.42578125" hidden="1" customWidth="1"/>
    <col min="13" max="13" width="7.7109375" hidden="1" customWidth="1"/>
    <col min="14" max="15" width="9.42578125" hidden="1" customWidth="1"/>
    <col min="16" max="16" width="10.42578125" hidden="1" customWidth="1"/>
    <col min="17" max="19" width="9.42578125" hidden="1" customWidth="1"/>
    <col min="20" max="20" width="10.42578125" hidden="1" customWidth="1"/>
    <col min="21" max="21" width="7.7109375" hidden="1" customWidth="1"/>
    <col min="22" max="22" width="10.42578125" hidden="1" customWidth="1"/>
    <col min="23" max="23" width="9.42578125" hidden="1" customWidth="1"/>
    <col min="24" max="24" width="10.42578125" hidden="1" customWidth="1"/>
    <col min="25" max="27" width="9.42578125" hidden="1" customWidth="1"/>
    <col min="28" max="28" width="10.42578125" hidden="1" customWidth="1"/>
    <col min="29" max="29" width="7.7109375" hidden="1" customWidth="1"/>
    <col min="30" max="31" width="9.42578125" hidden="1" customWidth="1"/>
    <col min="32" max="32" width="10.42578125" hidden="1" customWidth="1"/>
    <col min="33" max="33" width="8.5703125" hidden="1" customWidth="1"/>
    <col min="34" max="35" width="9.42578125" hidden="1" customWidth="1"/>
    <col min="36" max="36" width="10.42578125" hidden="1" customWidth="1"/>
    <col min="37" max="37" width="8.5703125" hidden="1" customWidth="1"/>
    <col min="38" max="38" width="10.42578125" hidden="1" customWidth="1"/>
    <col min="39" max="39" width="9.42578125" hidden="1" customWidth="1"/>
    <col min="40" max="41" width="10.42578125" hidden="1" customWidth="1"/>
    <col min="42" max="42" width="9.42578125" hidden="1" customWidth="1"/>
    <col min="43" max="43" width="11.140625" hidden="1" customWidth="1"/>
    <col min="44" max="44" width="7.7109375" hidden="1" customWidth="1"/>
    <col min="45" max="45" width="9.42578125" hidden="1" customWidth="1"/>
    <col min="46" max="46" width="11.140625" hidden="1" customWidth="1"/>
    <col min="47" max="49" width="10.42578125" customWidth="1"/>
    <col min="50" max="50" width="12" hidden="1" customWidth="1"/>
    <col min="51" max="51" width="11" customWidth="1"/>
    <col min="52" max="52" width="9.42578125" customWidth="1"/>
    <col min="53" max="53" width="43.28515625" customWidth="1"/>
    <col min="54" max="54" width="10.7109375" style="11" customWidth="1"/>
  </cols>
  <sheetData>
    <row r="1" spans="1:54" ht="18" x14ac:dyDescent="0.2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ht="18" x14ac:dyDescent="0.25">
      <c r="A2" s="48" t="s">
        <v>155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</row>
    <row r="3" spans="1:54" ht="16.149999999999999" customHeight="1" x14ac:dyDescent="0.25">
      <c r="A3" s="49" t="s">
        <v>156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1:54" hidden="1" x14ac:dyDescent="0.25"/>
    <row r="5" spans="1:54" ht="15.75" thickBot="1" x14ac:dyDescent="0.3">
      <c r="A5" s="1"/>
      <c r="B5" s="44" t="s">
        <v>0</v>
      </c>
      <c r="C5" s="45"/>
      <c r="D5" s="45"/>
      <c r="E5" s="45"/>
      <c r="F5" s="44" t="s">
        <v>1</v>
      </c>
      <c r="G5" s="45"/>
      <c r="H5" s="45"/>
      <c r="I5" s="45"/>
      <c r="J5" s="44" t="s">
        <v>2</v>
      </c>
      <c r="K5" s="45"/>
      <c r="L5" s="45"/>
      <c r="M5" s="45"/>
      <c r="N5" s="44" t="s">
        <v>3</v>
      </c>
      <c r="O5" s="45"/>
      <c r="P5" s="45"/>
      <c r="Q5" s="45"/>
      <c r="R5" s="44" t="s">
        <v>4</v>
      </c>
      <c r="S5" s="45"/>
      <c r="T5" s="45"/>
      <c r="U5" s="45"/>
      <c r="V5" s="44" t="s">
        <v>5</v>
      </c>
      <c r="W5" s="45"/>
      <c r="X5" s="45"/>
      <c r="Y5" s="45"/>
      <c r="Z5" s="44" t="s">
        <v>6</v>
      </c>
      <c r="AA5" s="45"/>
      <c r="AB5" s="45"/>
      <c r="AC5" s="45"/>
      <c r="AD5" s="44" t="s">
        <v>7</v>
      </c>
      <c r="AE5" s="45"/>
      <c r="AF5" s="45"/>
      <c r="AG5" s="45"/>
      <c r="AH5" s="44" t="s">
        <v>8</v>
      </c>
      <c r="AI5" s="45"/>
      <c r="AJ5" s="45"/>
      <c r="AK5" s="45"/>
      <c r="AL5" s="44" t="s">
        <v>9</v>
      </c>
      <c r="AM5" s="45"/>
      <c r="AN5" s="45"/>
      <c r="AO5" s="44" t="s">
        <v>10</v>
      </c>
      <c r="AP5" s="45"/>
      <c r="AQ5" s="45"/>
      <c r="AR5" s="44" t="s">
        <v>11</v>
      </c>
      <c r="AS5" s="45"/>
      <c r="AT5" s="45"/>
      <c r="AU5" s="46"/>
      <c r="AV5" s="46"/>
      <c r="AW5" s="45"/>
      <c r="AX5" s="45"/>
    </row>
    <row r="6" spans="1:54" ht="36.75" x14ac:dyDescent="0.25">
      <c r="A6" s="1"/>
      <c r="B6" s="2" t="s">
        <v>12</v>
      </c>
      <c r="C6" s="2" t="s">
        <v>13</v>
      </c>
      <c r="D6" s="2" t="s">
        <v>14</v>
      </c>
      <c r="E6" s="2" t="s">
        <v>15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12</v>
      </c>
      <c r="W6" s="2" t="s">
        <v>13</v>
      </c>
      <c r="X6" s="2" t="s">
        <v>14</v>
      </c>
      <c r="Y6" s="2" t="s">
        <v>15</v>
      </c>
      <c r="Z6" s="2" t="s">
        <v>12</v>
      </c>
      <c r="AA6" s="2" t="s">
        <v>13</v>
      </c>
      <c r="AB6" s="2" t="s">
        <v>14</v>
      </c>
      <c r="AC6" s="2" t="s">
        <v>15</v>
      </c>
      <c r="AD6" s="2" t="s">
        <v>12</v>
      </c>
      <c r="AE6" s="2" t="s">
        <v>13</v>
      </c>
      <c r="AF6" s="2" t="s">
        <v>14</v>
      </c>
      <c r="AG6" s="2" t="s">
        <v>15</v>
      </c>
      <c r="AH6" s="2" t="s">
        <v>12</v>
      </c>
      <c r="AI6" s="2" t="s">
        <v>13</v>
      </c>
      <c r="AJ6" s="2" t="s">
        <v>14</v>
      </c>
      <c r="AK6" s="2" t="s">
        <v>15</v>
      </c>
      <c r="AL6" s="2" t="s">
        <v>12</v>
      </c>
      <c r="AM6" s="2" t="s">
        <v>13</v>
      </c>
      <c r="AN6" s="2" t="s">
        <v>14</v>
      </c>
      <c r="AO6" s="2" t="s">
        <v>12</v>
      </c>
      <c r="AP6" s="2" t="s">
        <v>13</v>
      </c>
      <c r="AQ6" s="2" t="s">
        <v>14</v>
      </c>
      <c r="AR6" s="2" t="s">
        <v>12</v>
      </c>
      <c r="AS6" s="2" t="s">
        <v>13</v>
      </c>
      <c r="AT6" s="2" t="s">
        <v>14</v>
      </c>
      <c r="AU6" s="19" t="s">
        <v>132</v>
      </c>
      <c r="AV6" s="20" t="s">
        <v>133</v>
      </c>
      <c r="AW6" s="39" t="s">
        <v>134</v>
      </c>
      <c r="AX6" s="30" t="s">
        <v>14</v>
      </c>
      <c r="AY6" s="40" t="s">
        <v>135</v>
      </c>
      <c r="AZ6" s="31" t="s">
        <v>166</v>
      </c>
      <c r="BA6" s="32" t="s">
        <v>139</v>
      </c>
      <c r="BB6" s="33" t="s">
        <v>138</v>
      </c>
    </row>
    <row r="7" spans="1:54" hidden="1" x14ac:dyDescent="0.25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21"/>
      <c r="AV7" s="12"/>
      <c r="AW7" s="22"/>
      <c r="AX7" s="12"/>
      <c r="AY7" s="34"/>
      <c r="AZ7" s="13"/>
      <c r="BA7" s="13"/>
      <c r="BB7" s="35"/>
    </row>
    <row r="8" spans="1:54" hidden="1" x14ac:dyDescent="0.25">
      <c r="A8" s="3" t="s">
        <v>17</v>
      </c>
      <c r="B8" s="5">
        <f>13557.21</f>
        <v>13557.21</v>
      </c>
      <c r="C8" s="5">
        <f>20934.75</f>
        <v>20934.75</v>
      </c>
      <c r="D8" s="5">
        <f t="shared" ref="D8:D13" si="0">(B8)-(C8)</f>
        <v>-7377.5400000000009</v>
      </c>
      <c r="E8" s="6">
        <f t="shared" ref="E8:E13" si="1">IF(C8=0,"",(B8)/(C8))</f>
        <v>0.64759359438254571</v>
      </c>
      <c r="F8" s="5">
        <f>15108.52</f>
        <v>15108.52</v>
      </c>
      <c r="G8" s="5">
        <f>20934.75</f>
        <v>20934.75</v>
      </c>
      <c r="H8" s="5">
        <f t="shared" ref="H8:H13" si="2">(F8)-(G8)</f>
        <v>-5826.23</v>
      </c>
      <c r="I8" s="6">
        <f t="shared" ref="I8:I13" si="3">IF(G8=0,"",(F8)/(G8))</f>
        <v>0.721695745112791</v>
      </c>
      <c r="J8" s="5">
        <f>21363.75</f>
        <v>21363.75</v>
      </c>
      <c r="K8" s="5">
        <f>20934.75</f>
        <v>20934.75</v>
      </c>
      <c r="L8" s="5">
        <f t="shared" ref="L8:L13" si="4">(J8)-(K8)</f>
        <v>429</v>
      </c>
      <c r="M8" s="6">
        <f t="shared" ref="M8:M13" si="5">IF(K8=0,"",(J8)/(K8))</f>
        <v>1.0204922437573891</v>
      </c>
      <c r="N8" s="5">
        <f>25689.93</f>
        <v>25689.93</v>
      </c>
      <c r="O8" s="5">
        <f>20934.75</f>
        <v>20934.75</v>
      </c>
      <c r="P8" s="5">
        <f t="shared" ref="P8:P13" si="6">(N8)-(O8)</f>
        <v>4755.18</v>
      </c>
      <c r="Q8" s="6">
        <f t="shared" ref="Q8:Q13" si="7">IF(O8=0,"",(N8)/(O8))</f>
        <v>1.2271429083222871</v>
      </c>
      <c r="R8" s="5">
        <f>16995.32</f>
        <v>16995.32</v>
      </c>
      <c r="S8" s="5">
        <f>20934.75</f>
        <v>20934.75</v>
      </c>
      <c r="T8" s="5">
        <f t="shared" ref="T8:T13" si="8">(R8)-(S8)</f>
        <v>-3939.4300000000003</v>
      </c>
      <c r="U8" s="6">
        <f t="shared" ref="U8:U13" si="9">IF(S8=0,"",(R8)/(S8))</f>
        <v>0.81182340367092987</v>
      </c>
      <c r="V8" s="5">
        <f>25773.69</f>
        <v>25773.69</v>
      </c>
      <c r="W8" s="5">
        <f>20934.75</f>
        <v>20934.75</v>
      </c>
      <c r="X8" s="5">
        <f t="shared" ref="X8:X13" si="10">(V8)-(W8)</f>
        <v>4838.9399999999987</v>
      </c>
      <c r="Y8" s="6">
        <f t="shared" ref="Y8:Y13" si="11">IF(W8=0,"",(V8)/(W8))</f>
        <v>1.2311439114391143</v>
      </c>
      <c r="Z8" s="5">
        <f>17831.42</f>
        <v>17831.419999999998</v>
      </c>
      <c r="AA8" s="5">
        <f>20934.75</f>
        <v>20934.75</v>
      </c>
      <c r="AB8" s="5">
        <f t="shared" ref="AB8:AB13" si="12">(Z8)-(AA8)</f>
        <v>-3103.3300000000017</v>
      </c>
      <c r="AC8" s="6">
        <f t="shared" ref="AC8:AC13" si="13">IF(AA8=0,"",(Z8)/(AA8))</f>
        <v>0.85176178363725374</v>
      </c>
      <c r="AD8" s="5">
        <f>18199.32</f>
        <v>18199.32</v>
      </c>
      <c r="AE8" s="5">
        <f>20934.75</f>
        <v>20934.75</v>
      </c>
      <c r="AF8" s="5">
        <f t="shared" ref="AF8:AF13" si="14">(AD8)-(AE8)</f>
        <v>-2735.4300000000003</v>
      </c>
      <c r="AG8" s="6">
        <f t="shared" ref="AG8:AG13" si="15">IF(AE8=0,"",(AD8)/(AE8))</f>
        <v>0.86933543510192379</v>
      </c>
      <c r="AH8" s="5">
        <f>22483.6</f>
        <v>22483.599999999999</v>
      </c>
      <c r="AI8" s="5">
        <f>20934.75</f>
        <v>20934.75</v>
      </c>
      <c r="AJ8" s="5">
        <f t="shared" ref="AJ8:AJ13" si="16">(AH8)-(AI8)</f>
        <v>1548.8499999999985</v>
      </c>
      <c r="AK8" s="6">
        <f t="shared" ref="AK8:AK13" si="17">IF(AI8=0,"",(AH8)/(AI8))</f>
        <v>1.0739846427590489</v>
      </c>
      <c r="AL8" s="5">
        <f>16793.47</f>
        <v>16793.47</v>
      </c>
      <c r="AM8" s="5">
        <f>20934.75</f>
        <v>20934.75</v>
      </c>
      <c r="AN8" s="5">
        <f t="shared" ref="AN8:AN13" si="18">(AL8)-(AM8)</f>
        <v>-4141.2799999999988</v>
      </c>
      <c r="AO8" s="4"/>
      <c r="AP8" s="5">
        <f>20934.75</f>
        <v>20934.75</v>
      </c>
      <c r="AQ8" s="5">
        <f t="shared" ref="AQ8:AQ13" si="19">(AO8)-(AP8)</f>
        <v>-20934.75</v>
      </c>
      <c r="AR8" s="4"/>
      <c r="AS8" s="5">
        <f>20934.75</f>
        <v>20934.75</v>
      </c>
      <c r="AT8" s="5">
        <f t="shared" ref="AT8:AT13" si="20">(AR8)-(AS8)</f>
        <v>-20934.75</v>
      </c>
      <c r="AU8" s="23">
        <f t="shared" ref="AU8:AU13" si="21">(((((((((((B8)+(F8))+(J8))+(N8))+(R8))+(V8))+(Z8))+(AD8))+(AH8))+(AL8))+(AO8))+(AR8)</f>
        <v>193796.23000000004</v>
      </c>
      <c r="AV8" s="14">
        <f>AU8/10*12</f>
        <v>232555.47600000002</v>
      </c>
      <c r="AW8" s="24">
        <f t="shared" ref="AW8:AW13" si="22">(((((((((((C8)+(G8))+(K8))+(O8))+(S8))+(W8))+(AA8))+(AE8))+(AI8))+(AM8))+(AP8))+(AS8)</f>
        <v>251217</v>
      </c>
      <c r="AX8" s="14">
        <f t="shared" ref="AX8:AX13" si="23">(AU8)-(AW8)</f>
        <v>-57420.76999999996</v>
      </c>
      <c r="AY8" s="23"/>
      <c r="AZ8" s="14"/>
      <c r="BA8" s="13"/>
      <c r="BB8" s="24">
        <f>BB122*0.65</f>
        <v>250747.3751224</v>
      </c>
    </row>
    <row r="9" spans="1:54" hidden="1" x14ac:dyDescent="0.25">
      <c r="A9" s="3" t="s">
        <v>18</v>
      </c>
      <c r="B9" s="5">
        <f>7300.04</f>
        <v>7300.04</v>
      </c>
      <c r="C9" s="5">
        <f>11272.56</f>
        <v>11272.56</v>
      </c>
      <c r="D9" s="5">
        <f t="shared" si="0"/>
        <v>-3972.5199999999995</v>
      </c>
      <c r="E9" s="6">
        <f t="shared" si="1"/>
        <v>0.64759380300481884</v>
      </c>
      <c r="F9" s="5">
        <f>8135.35</f>
        <v>8135.35</v>
      </c>
      <c r="G9" s="5">
        <f>11272.56</f>
        <v>11272.56</v>
      </c>
      <c r="H9" s="5">
        <f t="shared" si="2"/>
        <v>-3137.2099999999991</v>
      </c>
      <c r="I9" s="6">
        <f t="shared" si="3"/>
        <v>0.72169498321587999</v>
      </c>
      <c r="J9" s="5">
        <f>11503.56</f>
        <v>11503.56</v>
      </c>
      <c r="K9" s="5">
        <f>11272.56</f>
        <v>11272.56</v>
      </c>
      <c r="L9" s="5">
        <f t="shared" si="4"/>
        <v>231</v>
      </c>
      <c r="M9" s="6">
        <f t="shared" si="5"/>
        <v>1.0204922395622644</v>
      </c>
      <c r="N9" s="5">
        <f>13833.04</f>
        <v>13833.04</v>
      </c>
      <c r="O9" s="5">
        <f>11272.56</f>
        <v>11272.56</v>
      </c>
      <c r="P9" s="5">
        <f t="shared" si="6"/>
        <v>2560.4800000000014</v>
      </c>
      <c r="Q9" s="6">
        <f t="shared" si="7"/>
        <v>1.2271427253436664</v>
      </c>
      <c r="R9" s="5">
        <f>9151.65</f>
        <v>9151.65</v>
      </c>
      <c r="S9" s="5">
        <f>11272.56</f>
        <v>11272.56</v>
      </c>
      <c r="T9" s="5">
        <f t="shared" si="8"/>
        <v>-2120.91</v>
      </c>
      <c r="U9" s="6">
        <f t="shared" si="9"/>
        <v>0.81185196619046607</v>
      </c>
      <c r="V9" s="5">
        <f>13878.14</f>
        <v>13878.14</v>
      </c>
      <c r="W9" s="5">
        <f>11272.56</f>
        <v>11272.56</v>
      </c>
      <c r="X9" s="5">
        <f t="shared" si="10"/>
        <v>2605.58</v>
      </c>
      <c r="Y9" s="6">
        <f t="shared" si="11"/>
        <v>1.2311435911629656</v>
      </c>
      <c r="Z9" s="5">
        <f>9601.52</f>
        <v>9601.52</v>
      </c>
      <c r="AA9" s="5">
        <f>11272.56</f>
        <v>11272.56</v>
      </c>
      <c r="AB9" s="5">
        <f t="shared" si="12"/>
        <v>-1671.0399999999991</v>
      </c>
      <c r="AC9" s="6">
        <f t="shared" si="13"/>
        <v>0.85176038096049178</v>
      </c>
      <c r="AD9" s="5">
        <f>9799.61</f>
        <v>9799.61</v>
      </c>
      <c r="AE9" s="5">
        <f>11272.56</f>
        <v>11272.56</v>
      </c>
      <c r="AF9" s="5">
        <f t="shared" si="14"/>
        <v>-1472.9499999999989</v>
      </c>
      <c r="AG9" s="6">
        <f t="shared" si="15"/>
        <v>0.86933314171758691</v>
      </c>
      <c r="AH9" s="5">
        <f>12106.57</f>
        <v>12106.57</v>
      </c>
      <c r="AI9" s="5">
        <f>11272.56</f>
        <v>11272.56</v>
      </c>
      <c r="AJ9" s="5">
        <f t="shared" si="16"/>
        <v>834.01000000000022</v>
      </c>
      <c r="AK9" s="6">
        <f t="shared" si="17"/>
        <v>1.0739858559191524</v>
      </c>
      <c r="AL9" s="5">
        <f>9042.65</f>
        <v>9042.65</v>
      </c>
      <c r="AM9" s="5">
        <f>11272.56</f>
        <v>11272.56</v>
      </c>
      <c r="AN9" s="5">
        <f t="shared" si="18"/>
        <v>-2229.91</v>
      </c>
      <c r="AO9" s="4"/>
      <c r="AP9" s="5">
        <f>11272.56</f>
        <v>11272.56</v>
      </c>
      <c r="AQ9" s="5">
        <f t="shared" si="19"/>
        <v>-11272.56</v>
      </c>
      <c r="AR9" s="4"/>
      <c r="AS9" s="5">
        <f>11272.84</f>
        <v>11272.84</v>
      </c>
      <c r="AT9" s="5">
        <f t="shared" si="20"/>
        <v>-11272.84</v>
      </c>
      <c r="AU9" s="23">
        <f t="shared" si="21"/>
        <v>104352.13</v>
      </c>
      <c r="AV9" s="14">
        <f>AU9/10*12</f>
        <v>125222.556</v>
      </c>
      <c r="AW9" s="24">
        <f t="shared" si="22"/>
        <v>135271</v>
      </c>
      <c r="AX9" s="14">
        <f t="shared" si="23"/>
        <v>-30918.869999999995</v>
      </c>
      <c r="AY9" s="23"/>
      <c r="AZ9" s="14"/>
      <c r="BA9" s="13"/>
      <c r="BB9" s="24">
        <f>BB122*0.35</f>
        <v>135017.81737359997</v>
      </c>
    </row>
    <row r="10" spans="1:54" hidden="1" x14ac:dyDescent="0.25">
      <c r="A10" s="3" t="s">
        <v>19</v>
      </c>
      <c r="B10" s="4"/>
      <c r="C10" s="5">
        <f>1666.67</f>
        <v>1666.67</v>
      </c>
      <c r="D10" s="5">
        <f t="shared" si="0"/>
        <v>-1666.67</v>
      </c>
      <c r="E10" s="6">
        <f t="shared" si="1"/>
        <v>0</v>
      </c>
      <c r="F10" s="4"/>
      <c r="G10" s="5">
        <f>1666.67</f>
        <v>1666.67</v>
      </c>
      <c r="H10" s="5">
        <f t="shared" si="2"/>
        <v>-1666.67</v>
      </c>
      <c r="I10" s="6">
        <f t="shared" si="3"/>
        <v>0</v>
      </c>
      <c r="J10" s="4"/>
      <c r="K10" s="5">
        <f>1666.67</f>
        <v>1666.67</v>
      </c>
      <c r="L10" s="5">
        <f t="shared" si="4"/>
        <v>-1666.67</v>
      </c>
      <c r="M10" s="6">
        <f t="shared" si="5"/>
        <v>0</v>
      </c>
      <c r="N10" s="4"/>
      <c r="O10" s="5">
        <f>1666.67</f>
        <v>1666.67</v>
      </c>
      <c r="P10" s="5">
        <f t="shared" si="6"/>
        <v>-1666.67</v>
      </c>
      <c r="Q10" s="6">
        <f t="shared" si="7"/>
        <v>0</v>
      </c>
      <c r="R10" s="4"/>
      <c r="S10" s="5">
        <f>1666.67</f>
        <v>1666.67</v>
      </c>
      <c r="T10" s="5">
        <f t="shared" si="8"/>
        <v>-1666.67</v>
      </c>
      <c r="U10" s="6">
        <f t="shared" si="9"/>
        <v>0</v>
      </c>
      <c r="V10" s="4"/>
      <c r="W10" s="5">
        <f>1666.67</f>
        <v>1666.67</v>
      </c>
      <c r="X10" s="5">
        <f t="shared" si="10"/>
        <v>-1666.67</v>
      </c>
      <c r="Y10" s="6">
        <f t="shared" si="11"/>
        <v>0</v>
      </c>
      <c r="Z10" s="4"/>
      <c r="AA10" s="5">
        <f>1666.67</f>
        <v>1666.67</v>
      </c>
      <c r="AB10" s="5">
        <f t="shared" si="12"/>
        <v>-1666.67</v>
      </c>
      <c r="AC10" s="6">
        <f t="shared" si="13"/>
        <v>0</v>
      </c>
      <c r="AD10" s="4"/>
      <c r="AE10" s="5">
        <f>1666.67</f>
        <v>1666.67</v>
      </c>
      <c r="AF10" s="5">
        <f t="shared" si="14"/>
        <v>-1666.67</v>
      </c>
      <c r="AG10" s="6">
        <f t="shared" si="15"/>
        <v>0</v>
      </c>
      <c r="AH10" s="4"/>
      <c r="AI10" s="5">
        <f>1666.66</f>
        <v>1666.66</v>
      </c>
      <c r="AJ10" s="5">
        <f t="shared" si="16"/>
        <v>-1666.66</v>
      </c>
      <c r="AK10" s="6">
        <f t="shared" si="17"/>
        <v>0</v>
      </c>
      <c r="AL10" s="4"/>
      <c r="AM10" s="5">
        <f>1666.66</f>
        <v>1666.66</v>
      </c>
      <c r="AN10" s="5">
        <f t="shared" si="18"/>
        <v>-1666.66</v>
      </c>
      <c r="AO10" s="4"/>
      <c r="AP10" s="5">
        <f>1666.66</f>
        <v>1666.66</v>
      </c>
      <c r="AQ10" s="5">
        <f t="shared" si="19"/>
        <v>-1666.66</v>
      </c>
      <c r="AR10" s="4"/>
      <c r="AS10" s="5">
        <f>1666.66</f>
        <v>1666.66</v>
      </c>
      <c r="AT10" s="5">
        <f t="shared" si="20"/>
        <v>-1666.66</v>
      </c>
      <c r="AU10" s="23">
        <f t="shared" si="21"/>
        <v>0</v>
      </c>
      <c r="AV10" s="14"/>
      <c r="AW10" s="24">
        <f t="shared" si="22"/>
        <v>20000</v>
      </c>
      <c r="AX10" s="14">
        <f t="shared" si="23"/>
        <v>-20000</v>
      </c>
      <c r="AY10" s="23"/>
      <c r="AZ10" s="14"/>
      <c r="BA10" s="13"/>
      <c r="BB10" s="24"/>
    </row>
    <row r="11" spans="1:54" hidden="1" x14ac:dyDescent="0.25">
      <c r="A11" s="3" t="s">
        <v>20</v>
      </c>
      <c r="B11" s="4"/>
      <c r="C11" s="4"/>
      <c r="D11" s="5">
        <f t="shared" si="0"/>
        <v>0</v>
      </c>
      <c r="E11" s="6" t="str">
        <f t="shared" si="1"/>
        <v/>
      </c>
      <c r="F11" s="4"/>
      <c r="G11" s="4"/>
      <c r="H11" s="5">
        <f t="shared" si="2"/>
        <v>0</v>
      </c>
      <c r="I11" s="6" t="str">
        <f t="shared" si="3"/>
        <v/>
      </c>
      <c r="J11" s="4"/>
      <c r="K11" s="4"/>
      <c r="L11" s="5">
        <f t="shared" si="4"/>
        <v>0</v>
      </c>
      <c r="M11" s="6" t="str">
        <f t="shared" si="5"/>
        <v/>
      </c>
      <c r="N11" s="4"/>
      <c r="O11" s="4"/>
      <c r="P11" s="5">
        <f t="shared" si="6"/>
        <v>0</v>
      </c>
      <c r="Q11" s="6" t="str">
        <f t="shared" si="7"/>
        <v/>
      </c>
      <c r="R11" s="4"/>
      <c r="S11" s="4"/>
      <c r="T11" s="5">
        <f t="shared" si="8"/>
        <v>0</v>
      </c>
      <c r="U11" s="6" t="str">
        <f t="shared" si="9"/>
        <v/>
      </c>
      <c r="V11" s="4"/>
      <c r="W11" s="4"/>
      <c r="X11" s="5">
        <f t="shared" si="10"/>
        <v>0</v>
      </c>
      <c r="Y11" s="6" t="str">
        <f t="shared" si="11"/>
        <v/>
      </c>
      <c r="Z11" s="5">
        <f>0.02</f>
        <v>0.02</v>
      </c>
      <c r="AA11" s="4"/>
      <c r="AB11" s="5">
        <f t="shared" si="12"/>
        <v>0.02</v>
      </c>
      <c r="AC11" s="6" t="str">
        <f t="shared" si="13"/>
        <v/>
      </c>
      <c r="AD11" s="4"/>
      <c r="AE11" s="4"/>
      <c r="AF11" s="5">
        <f t="shared" si="14"/>
        <v>0</v>
      </c>
      <c r="AG11" s="6" t="str">
        <f t="shared" si="15"/>
        <v/>
      </c>
      <c r="AH11" s="4"/>
      <c r="AI11" s="4"/>
      <c r="AJ11" s="5">
        <f t="shared" si="16"/>
        <v>0</v>
      </c>
      <c r="AK11" s="6" t="str">
        <f t="shared" si="17"/>
        <v/>
      </c>
      <c r="AL11" s="4"/>
      <c r="AM11" s="4"/>
      <c r="AN11" s="5">
        <f t="shared" si="18"/>
        <v>0</v>
      </c>
      <c r="AO11" s="4"/>
      <c r="AP11" s="4"/>
      <c r="AQ11" s="5">
        <f t="shared" si="19"/>
        <v>0</v>
      </c>
      <c r="AR11" s="4"/>
      <c r="AS11" s="4"/>
      <c r="AT11" s="5">
        <f t="shared" si="20"/>
        <v>0</v>
      </c>
      <c r="AU11" s="23">
        <f t="shared" si="21"/>
        <v>0.02</v>
      </c>
      <c r="AV11" s="14"/>
      <c r="AW11" s="24">
        <f t="shared" si="22"/>
        <v>0</v>
      </c>
      <c r="AX11" s="14">
        <f t="shared" si="23"/>
        <v>0.02</v>
      </c>
      <c r="AY11" s="23"/>
      <c r="AZ11" s="14"/>
      <c r="BA11" s="13"/>
      <c r="BB11" s="24"/>
    </row>
    <row r="12" spans="1:54" hidden="1" x14ac:dyDescent="0.25">
      <c r="A12" s="3" t="s">
        <v>21</v>
      </c>
      <c r="B12" s="7">
        <f>(((B8)+(B9))+(B10))+(B11)</f>
        <v>20857.25</v>
      </c>
      <c r="C12" s="7">
        <f>(((C8)+(C9))+(C10))+(C11)</f>
        <v>33873.979999999996</v>
      </c>
      <c r="D12" s="7">
        <f t="shared" si="0"/>
        <v>-13016.729999999996</v>
      </c>
      <c r="E12" s="8">
        <f t="shared" si="1"/>
        <v>0.61573071720535943</v>
      </c>
      <c r="F12" s="7">
        <f>(((F8)+(F9))+(F10))+(F11)</f>
        <v>23243.870000000003</v>
      </c>
      <c r="G12" s="7">
        <f>(((G8)+(G9))+(G10))+(G11)</f>
        <v>33873.979999999996</v>
      </c>
      <c r="H12" s="7">
        <f t="shared" si="2"/>
        <v>-10630.109999999993</v>
      </c>
      <c r="I12" s="8">
        <f t="shared" si="3"/>
        <v>0.6861865656176217</v>
      </c>
      <c r="J12" s="7">
        <f>(((J8)+(J9))+(J10))+(J11)</f>
        <v>32867.31</v>
      </c>
      <c r="K12" s="7">
        <f>(((K8)+(K9))+(K10))+(K11)</f>
        <v>33873.979999999996</v>
      </c>
      <c r="L12" s="7">
        <f t="shared" si="4"/>
        <v>-1006.6699999999983</v>
      </c>
      <c r="M12" s="8">
        <f t="shared" si="5"/>
        <v>0.97028190959550664</v>
      </c>
      <c r="N12" s="7">
        <f>(((N8)+(N9))+(N10))+(N11)</f>
        <v>39522.97</v>
      </c>
      <c r="O12" s="7">
        <f>(((O8)+(O9))+(O10))+(O11)</f>
        <v>33873.979999999996</v>
      </c>
      <c r="P12" s="7">
        <f t="shared" si="6"/>
        <v>5648.9900000000052</v>
      </c>
      <c r="Q12" s="8">
        <f t="shared" si="7"/>
        <v>1.1667648738057945</v>
      </c>
      <c r="R12" s="7">
        <f>(((R8)+(R9))+(R10))+(R11)</f>
        <v>26146.97</v>
      </c>
      <c r="S12" s="7">
        <f>(((S8)+(S9))+(S10))+(S11)</f>
        <v>33873.979999999996</v>
      </c>
      <c r="T12" s="7">
        <f t="shared" si="8"/>
        <v>-7727.0099999999948</v>
      </c>
      <c r="U12" s="8">
        <f t="shared" si="9"/>
        <v>0.7718895151972105</v>
      </c>
      <c r="V12" s="7">
        <f>(((V8)+(V9))+(V10))+(V11)</f>
        <v>39651.83</v>
      </c>
      <c r="W12" s="7">
        <f>(((W8)+(W9))+(W10))+(W11)</f>
        <v>33873.979999999996</v>
      </c>
      <c r="X12" s="7">
        <f t="shared" si="10"/>
        <v>5777.8500000000058</v>
      </c>
      <c r="Y12" s="8">
        <f t="shared" si="11"/>
        <v>1.1705689735897584</v>
      </c>
      <c r="Z12" s="7">
        <f>(((Z8)+(Z9))+(Z10))+(Z11)</f>
        <v>27432.959999999999</v>
      </c>
      <c r="AA12" s="7">
        <f>(((AA8)+(AA9))+(AA10))+(AA11)</f>
        <v>33873.979999999996</v>
      </c>
      <c r="AB12" s="7">
        <f t="shared" si="12"/>
        <v>-6441.0199999999968</v>
      </c>
      <c r="AC12" s="8">
        <f t="shared" si="13"/>
        <v>0.80985346274633219</v>
      </c>
      <c r="AD12" s="7">
        <f>(((AD8)+(AD9))+(AD10))+(AD11)</f>
        <v>27998.93</v>
      </c>
      <c r="AE12" s="7">
        <f>(((AE8)+(AE9))+(AE10))+(AE11)</f>
        <v>33873.979999999996</v>
      </c>
      <c r="AF12" s="7">
        <f t="shared" si="14"/>
        <v>-5875.0499999999956</v>
      </c>
      <c r="AG12" s="8">
        <f t="shared" si="15"/>
        <v>0.82656156731508978</v>
      </c>
      <c r="AH12" s="7">
        <f>(((AH8)+(AH9))+(AH10))+(AH11)</f>
        <v>34590.17</v>
      </c>
      <c r="AI12" s="7">
        <f>(((AI8)+(AI9))+(AI10))+(AI11)</f>
        <v>33873.97</v>
      </c>
      <c r="AJ12" s="7">
        <f t="shared" si="16"/>
        <v>716.19999999999709</v>
      </c>
      <c r="AK12" s="8">
        <f t="shared" si="17"/>
        <v>1.0211430782987645</v>
      </c>
      <c r="AL12" s="7">
        <f>(((AL8)+(AL9))+(AL10))+(AL11)</f>
        <v>25836.120000000003</v>
      </c>
      <c r="AM12" s="7">
        <f>(((AM8)+(AM9))+(AM10))+(AM11)</f>
        <v>33873.97</v>
      </c>
      <c r="AN12" s="7">
        <f t="shared" si="18"/>
        <v>-8037.8499999999985</v>
      </c>
      <c r="AO12" s="7">
        <f>(((AO8)+(AO9))+(AO10))+(AO11)</f>
        <v>0</v>
      </c>
      <c r="AP12" s="7">
        <f>(((AP8)+(AP9))+(AP10))+(AP11)</f>
        <v>33873.97</v>
      </c>
      <c r="AQ12" s="7">
        <f t="shared" si="19"/>
        <v>-33873.97</v>
      </c>
      <c r="AR12" s="7">
        <f>(((AR8)+(AR9))+(AR10))+(AR11)</f>
        <v>0</v>
      </c>
      <c r="AS12" s="7">
        <f>(((AS8)+(AS9))+(AS10))+(AS11)</f>
        <v>33874.25</v>
      </c>
      <c r="AT12" s="7">
        <f t="shared" si="20"/>
        <v>-33874.25</v>
      </c>
      <c r="AU12" s="25">
        <f t="shared" si="21"/>
        <v>298148.38</v>
      </c>
      <c r="AV12" s="16">
        <f>SUM(AV8:AV11)</f>
        <v>357778.03200000001</v>
      </c>
      <c r="AW12" s="26">
        <f t="shared" si="22"/>
        <v>406487.99999999988</v>
      </c>
      <c r="AX12" s="16">
        <f t="shared" si="23"/>
        <v>-108339.61999999988</v>
      </c>
      <c r="AY12" s="25"/>
      <c r="AZ12" s="17"/>
      <c r="BA12" s="13"/>
      <c r="BB12" s="26">
        <f>SUM(BB8:BB11)</f>
        <v>385765.19249599997</v>
      </c>
    </row>
    <row r="13" spans="1:54" hidden="1" x14ac:dyDescent="0.25">
      <c r="A13" s="3" t="s">
        <v>22</v>
      </c>
      <c r="B13" s="7">
        <f>(B12)-(0)</f>
        <v>20857.25</v>
      </c>
      <c r="C13" s="7">
        <f>(C12)-(0)</f>
        <v>33873.979999999996</v>
      </c>
      <c r="D13" s="7">
        <f t="shared" si="0"/>
        <v>-13016.729999999996</v>
      </c>
      <c r="E13" s="8">
        <f t="shared" si="1"/>
        <v>0.61573071720535943</v>
      </c>
      <c r="F13" s="7">
        <f>(F12)-(0)</f>
        <v>23243.870000000003</v>
      </c>
      <c r="G13" s="7">
        <f>(G12)-(0)</f>
        <v>33873.979999999996</v>
      </c>
      <c r="H13" s="7">
        <f t="shared" si="2"/>
        <v>-10630.109999999993</v>
      </c>
      <c r="I13" s="8">
        <f t="shared" si="3"/>
        <v>0.6861865656176217</v>
      </c>
      <c r="J13" s="7">
        <f>(J12)-(0)</f>
        <v>32867.31</v>
      </c>
      <c r="K13" s="7">
        <f>(K12)-(0)</f>
        <v>33873.979999999996</v>
      </c>
      <c r="L13" s="7">
        <f t="shared" si="4"/>
        <v>-1006.6699999999983</v>
      </c>
      <c r="M13" s="8">
        <f t="shared" si="5"/>
        <v>0.97028190959550664</v>
      </c>
      <c r="N13" s="7">
        <f>(N12)-(0)</f>
        <v>39522.97</v>
      </c>
      <c r="O13" s="7">
        <f>(O12)-(0)</f>
        <v>33873.979999999996</v>
      </c>
      <c r="P13" s="7">
        <f t="shared" si="6"/>
        <v>5648.9900000000052</v>
      </c>
      <c r="Q13" s="8">
        <f t="shared" si="7"/>
        <v>1.1667648738057945</v>
      </c>
      <c r="R13" s="7">
        <f>(R12)-(0)</f>
        <v>26146.97</v>
      </c>
      <c r="S13" s="7">
        <f>(S12)-(0)</f>
        <v>33873.979999999996</v>
      </c>
      <c r="T13" s="7">
        <f t="shared" si="8"/>
        <v>-7727.0099999999948</v>
      </c>
      <c r="U13" s="8">
        <f t="shared" si="9"/>
        <v>0.7718895151972105</v>
      </c>
      <c r="V13" s="7">
        <f>(V12)-(0)</f>
        <v>39651.83</v>
      </c>
      <c r="W13" s="7">
        <f>(W12)-(0)</f>
        <v>33873.979999999996</v>
      </c>
      <c r="X13" s="7">
        <f t="shared" si="10"/>
        <v>5777.8500000000058</v>
      </c>
      <c r="Y13" s="8">
        <f t="shared" si="11"/>
        <v>1.1705689735897584</v>
      </c>
      <c r="Z13" s="7">
        <f>(Z12)-(0)</f>
        <v>27432.959999999999</v>
      </c>
      <c r="AA13" s="7">
        <f>(AA12)-(0)</f>
        <v>33873.979999999996</v>
      </c>
      <c r="AB13" s="7">
        <f t="shared" si="12"/>
        <v>-6441.0199999999968</v>
      </c>
      <c r="AC13" s="8">
        <f t="shared" si="13"/>
        <v>0.80985346274633219</v>
      </c>
      <c r="AD13" s="7">
        <f>(AD12)-(0)</f>
        <v>27998.93</v>
      </c>
      <c r="AE13" s="7">
        <f>(AE12)-(0)</f>
        <v>33873.979999999996</v>
      </c>
      <c r="AF13" s="7">
        <f t="shared" si="14"/>
        <v>-5875.0499999999956</v>
      </c>
      <c r="AG13" s="8">
        <f t="shared" si="15"/>
        <v>0.82656156731508978</v>
      </c>
      <c r="AH13" s="7">
        <f>(AH12)-(0)</f>
        <v>34590.17</v>
      </c>
      <c r="AI13" s="7">
        <f>(AI12)-(0)</f>
        <v>33873.97</v>
      </c>
      <c r="AJ13" s="7">
        <f t="shared" si="16"/>
        <v>716.19999999999709</v>
      </c>
      <c r="AK13" s="8">
        <f t="shared" si="17"/>
        <v>1.0211430782987645</v>
      </c>
      <c r="AL13" s="7">
        <f>(AL12)-(0)</f>
        <v>25836.120000000003</v>
      </c>
      <c r="AM13" s="7">
        <f>(AM12)-(0)</f>
        <v>33873.97</v>
      </c>
      <c r="AN13" s="7">
        <f t="shared" si="18"/>
        <v>-8037.8499999999985</v>
      </c>
      <c r="AO13" s="7">
        <f>(AO12)-(0)</f>
        <v>0</v>
      </c>
      <c r="AP13" s="7">
        <f>(AP12)-(0)</f>
        <v>33873.97</v>
      </c>
      <c r="AQ13" s="7">
        <f t="shared" si="19"/>
        <v>-33873.97</v>
      </c>
      <c r="AR13" s="7">
        <f>(AR12)-(0)</f>
        <v>0</v>
      </c>
      <c r="AS13" s="7">
        <f>(AS12)-(0)</f>
        <v>33874.25</v>
      </c>
      <c r="AT13" s="7">
        <f t="shared" si="20"/>
        <v>-33874.25</v>
      </c>
      <c r="AU13" s="25">
        <f t="shared" si="21"/>
        <v>298148.38</v>
      </c>
      <c r="AV13" s="16"/>
      <c r="AW13" s="26">
        <f t="shared" si="22"/>
        <v>406487.99999999988</v>
      </c>
      <c r="AX13" s="16">
        <f t="shared" si="23"/>
        <v>-108339.61999999988</v>
      </c>
      <c r="AY13" s="25"/>
      <c r="AZ13" s="17"/>
      <c r="BA13" s="13"/>
      <c r="BB13" s="26"/>
    </row>
    <row r="14" spans="1:54" x14ac:dyDescent="0.25">
      <c r="A14" s="3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1"/>
      <c r="AV14" s="12"/>
      <c r="AW14" s="22"/>
      <c r="AX14" s="12"/>
      <c r="AY14" s="21"/>
      <c r="AZ14" s="12"/>
      <c r="BA14" s="13"/>
      <c r="BB14" s="22"/>
    </row>
    <row r="15" spans="1:54" x14ac:dyDescent="0.25">
      <c r="A15" s="3" t="s">
        <v>24</v>
      </c>
      <c r="B15" s="4"/>
      <c r="C15" s="4"/>
      <c r="D15" s="5">
        <f t="shared" ref="D15:D46" si="24">(B15)-(C15)</f>
        <v>0</v>
      </c>
      <c r="E15" s="6" t="str">
        <f t="shared" ref="E15:E46" si="25">IF(C15=0,"",(B15)/(C15))</f>
        <v/>
      </c>
      <c r="F15" s="4"/>
      <c r="G15" s="4"/>
      <c r="H15" s="5">
        <f t="shared" ref="H15:H46" si="26">(F15)-(G15)</f>
        <v>0</v>
      </c>
      <c r="I15" s="6" t="str">
        <f t="shared" ref="I15:I46" si="27">IF(G15=0,"",(F15)/(G15))</f>
        <v/>
      </c>
      <c r="J15" s="4"/>
      <c r="K15" s="4"/>
      <c r="L15" s="5">
        <f t="shared" ref="L15:L46" si="28">(J15)-(K15)</f>
        <v>0</v>
      </c>
      <c r="M15" s="6" t="str">
        <f t="shared" ref="M15:M46" si="29">IF(K15=0,"",(J15)/(K15))</f>
        <v/>
      </c>
      <c r="N15" s="4"/>
      <c r="O15" s="4"/>
      <c r="P15" s="5">
        <f t="shared" ref="P15:P46" si="30">(N15)-(O15)</f>
        <v>0</v>
      </c>
      <c r="Q15" s="6" t="str">
        <f t="shared" ref="Q15:Q46" si="31">IF(O15=0,"",(N15)/(O15))</f>
        <v/>
      </c>
      <c r="R15" s="4"/>
      <c r="S15" s="4"/>
      <c r="T15" s="5">
        <f t="shared" ref="T15:T46" si="32">(R15)-(S15)</f>
        <v>0</v>
      </c>
      <c r="U15" s="6" t="str">
        <f t="shared" ref="U15:U46" si="33">IF(S15=0,"",(R15)/(S15))</f>
        <v/>
      </c>
      <c r="V15" s="4"/>
      <c r="W15" s="4"/>
      <c r="X15" s="5">
        <f t="shared" ref="X15:X46" si="34">(V15)-(W15)</f>
        <v>0</v>
      </c>
      <c r="Y15" s="6" t="str">
        <f t="shared" ref="Y15:Y46" si="35">IF(W15=0,"",(V15)/(W15))</f>
        <v/>
      </c>
      <c r="Z15" s="4"/>
      <c r="AA15" s="4"/>
      <c r="AB15" s="5">
        <f t="shared" ref="AB15:AB46" si="36">(Z15)-(AA15)</f>
        <v>0</v>
      </c>
      <c r="AC15" s="6" t="str">
        <f t="shared" ref="AC15:AC46" si="37">IF(AA15=0,"",(Z15)/(AA15))</f>
        <v/>
      </c>
      <c r="AD15" s="4"/>
      <c r="AE15" s="4"/>
      <c r="AF15" s="5">
        <f t="shared" ref="AF15:AF46" si="38">(AD15)-(AE15)</f>
        <v>0</v>
      </c>
      <c r="AG15" s="6" t="str">
        <f t="shared" ref="AG15:AG46" si="39">IF(AE15=0,"",(AD15)/(AE15))</f>
        <v/>
      </c>
      <c r="AH15" s="4"/>
      <c r="AI15" s="4"/>
      <c r="AJ15" s="5">
        <f t="shared" ref="AJ15:AJ46" si="40">(AH15)-(AI15)</f>
        <v>0</v>
      </c>
      <c r="AK15" s="6" t="str">
        <f t="shared" ref="AK15:AK46" si="41">IF(AI15=0,"",(AH15)/(AI15))</f>
        <v/>
      </c>
      <c r="AL15" s="4"/>
      <c r="AM15" s="4"/>
      <c r="AN15" s="5">
        <f t="shared" ref="AN15:AN46" si="42">(AL15)-(AM15)</f>
        <v>0</v>
      </c>
      <c r="AO15" s="4"/>
      <c r="AP15" s="4"/>
      <c r="AQ15" s="5">
        <f t="shared" ref="AQ15:AQ46" si="43">(AO15)-(AP15)</f>
        <v>0</v>
      </c>
      <c r="AR15" s="4"/>
      <c r="AS15" s="4"/>
      <c r="AT15" s="5">
        <f t="shared" ref="AT15:AT46" si="44">(AR15)-(AS15)</f>
        <v>0</v>
      </c>
      <c r="AU15" s="23">
        <f t="shared" ref="AU15:AU42" si="45">(((((((((((B15)+(F15))+(J15))+(N15))+(R15))+(V15))+(Z15))+(AD15))+(AH15))+(AL15))+(AO15))+(AR15)</f>
        <v>0</v>
      </c>
      <c r="AV15" s="14">
        <f t="shared" ref="AV15:AV80" si="46">AU15/10*12</f>
        <v>0</v>
      </c>
      <c r="AW15" s="24">
        <f t="shared" ref="AW15:AW46" si="47">(((((((((((C15)+(G15))+(K15))+(O15))+(S15))+(W15))+(AA15))+(AE15))+(AI15))+(AM15))+(AP15))+(AS15)</f>
        <v>0</v>
      </c>
      <c r="AX15" s="14">
        <f t="shared" ref="AX15:AX46" si="48">(AU15)-(AW15)</f>
        <v>0</v>
      </c>
      <c r="AY15" s="23"/>
      <c r="AZ15" s="14"/>
      <c r="BA15" s="13" t="s">
        <v>137</v>
      </c>
      <c r="BB15" s="24">
        <f>48.45*2080</f>
        <v>100776</v>
      </c>
    </row>
    <row r="16" spans="1:54" x14ac:dyDescent="0.25">
      <c r="A16" s="3" t="s">
        <v>25</v>
      </c>
      <c r="B16" s="5">
        <f>4069.52</f>
        <v>4069.52</v>
      </c>
      <c r="C16" s="5">
        <f>8964.19</f>
        <v>8964.19</v>
      </c>
      <c r="D16" s="5">
        <f t="shared" si="24"/>
        <v>-4894.67</v>
      </c>
      <c r="E16" s="6">
        <f t="shared" si="25"/>
        <v>0.45397520579104189</v>
      </c>
      <c r="F16" s="5">
        <f>8139.04</f>
        <v>8139.04</v>
      </c>
      <c r="G16" s="5">
        <f>8964.19</f>
        <v>8964.19</v>
      </c>
      <c r="H16" s="5">
        <f t="shared" si="26"/>
        <v>-825.15000000000055</v>
      </c>
      <c r="I16" s="6">
        <f t="shared" si="27"/>
        <v>0.90795041158208378</v>
      </c>
      <c r="J16" s="5">
        <f>12208.56</f>
        <v>12208.56</v>
      </c>
      <c r="K16" s="5">
        <f>8964.19</f>
        <v>8964.19</v>
      </c>
      <c r="L16" s="5">
        <f t="shared" si="28"/>
        <v>3244.369999999999</v>
      </c>
      <c r="M16" s="6">
        <f t="shared" si="29"/>
        <v>1.3619256173731256</v>
      </c>
      <c r="N16" s="5">
        <f>8139.04</f>
        <v>8139.04</v>
      </c>
      <c r="O16" s="5">
        <f>8964.19</f>
        <v>8964.19</v>
      </c>
      <c r="P16" s="5">
        <f t="shared" si="30"/>
        <v>-825.15000000000055</v>
      </c>
      <c r="Q16" s="6">
        <f t="shared" si="31"/>
        <v>0.90795041158208378</v>
      </c>
      <c r="R16" s="5">
        <f>8139.04</f>
        <v>8139.04</v>
      </c>
      <c r="S16" s="5">
        <f>8964.19</f>
        <v>8964.19</v>
      </c>
      <c r="T16" s="5">
        <f t="shared" si="32"/>
        <v>-825.15000000000055</v>
      </c>
      <c r="U16" s="6">
        <f t="shared" si="33"/>
        <v>0.90795041158208378</v>
      </c>
      <c r="V16" s="5">
        <f>8139.04</f>
        <v>8139.04</v>
      </c>
      <c r="W16" s="5">
        <f>8964.19</f>
        <v>8964.19</v>
      </c>
      <c r="X16" s="5">
        <f t="shared" si="34"/>
        <v>-825.15000000000055</v>
      </c>
      <c r="Y16" s="6">
        <f t="shared" si="35"/>
        <v>0.90795041158208378</v>
      </c>
      <c r="Z16" s="5">
        <f>8139.04</f>
        <v>8139.04</v>
      </c>
      <c r="AA16" s="5">
        <f>8964.19</f>
        <v>8964.19</v>
      </c>
      <c r="AB16" s="5">
        <f t="shared" si="36"/>
        <v>-825.15000000000055</v>
      </c>
      <c r="AC16" s="6">
        <f t="shared" si="37"/>
        <v>0.90795041158208378</v>
      </c>
      <c r="AD16" s="5">
        <f>8139.04</f>
        <v>8139.04</v>
      </c>
      <c r="AE16" s="5">
        <f>8964.19</f>
        <v>8964.19</v>
      </c>
      <c r="AF16" s="5">
        <f t="shared" si="38"/>
        <v>-825.15000000000055</v>
      </c>
      <c r="AG16" s="6">
        <f t="shared" si="39"/>
        <v>0.90795041158208378</v>
      </c>
      <c r="AH16" s="5">
        <f>12208.56</f>
        <v>12208.56</v>
      </c>
      <c r="AI16" s="5">
        <f>8964.19</f>
        <v>8964.19</v>
      </c>
      <c r="AJ16" s="5">
        <f t="shared" si="40"/>
        <v>3244.369999999999</v>
      </c>
      <c r="AK16" s="6">
        <f t="shared" si="41"/>
        <v>1.3619256173731256</v>
      </c>
      <c r="AL16" s="5">
        <f>8139.04</f>
        <v>8139.04</v>
      </c>
      <c r="AM16" s="5">
        <f>8964.19</f>
        <v>8964.19</v>
      </c>
      <c r="AN16" s="5">
        <f t="shared" si="42"/>
        <v>-825.15000000000055</v>
      </c>
      <c r="AO16" s="4"/>
      <c r="AP16" s="5">
        <f>8964.19</f>
        <v>8964.19</v>
      </c>
      <c r="AQ16" s="5">
        <f t="shared" si="43"/>
        <v>-8964.19</v>
      </c>
      <c r="AR16" s="4"/>
      <c r="AS16" s="5">
        <f>8964.2</f>
        <v>8964.2000000000007</v>
      </c>
      <c r="AT16" s="5">
        <f t="shared" si="44"/>
        <v>-8964.2000000000007</v>
      </c>
      <c r="AU16" s="23">
        <f t="shared" si="45"/>
        <v>85459.92</v>
      </c>
      <c r="AV16" s="14">
        <f t="shared" si="46"/>
        <v>102551.90400000001</v>
      </c>
      <c r="AW16" s="24">
        <f t="shared" si="47"/>
        <v>107570.29000000001</v>
      </c>
      <c r="AX16" s="14">
        <f t="shared" si="48"/>
        <v>-22110.37000000001</v>
      </c>
      <c r="AY16" s="23"/>
      <c r="AZ16" s="14"/>
      <c r="BA16" s="13" t="s">
        <v>136</v>
      </c>
      <c r="BB16" s="24">
        <f>29.81*2080</f>
        <v>62004.799999999996</v>
      </c>
    </row>
    <row r="17" spans="1:54" x14ac:dyDescent="0.25">
      <c r="A17" s="3" t="s">
        <v>26</v>
      </c>
      <c r="B17" s="5">
        <f>2191.28</f>
        <v>2191.2800000000002</v>
      </c>
      <c r="C17" s="5">
        <f>4826.87</f>
        <v>4826.87</v>
      </c>
      <c r="D17" s="5">
        <f t="shared" si="24"/>
        <v>-2635.5899999999997</v>
      </c>
      <c r="E17" s="6">
        <f t="shared" si="25"/>
        <v>0.45397535048592569</v>
      </c>
      <c r="F17" s="5">
        <f>4382.56</f>
        <v>4382.5600000000004</v>
      </c>
      <c r="G17" s="5">
        <f>4826.87</f>
        <v>4826.87</v>
      </c>
      <c r="H17" s="5">
        <f t="shared" si="26"/>
        <v>-444.30999999999949</v>
      </c>
      <c r="I17" s="6">
        <f t="shared" si="27"/>
        <v>0.90795070097185138</v>
      </c>
      <c r="J17" s="5">
        <f>6573.84</f>
        <v>6573.84</v>
      </c>
      <c r="K17" s="5">
        <f>4826.87</f>
        <v>4826.87</v>
      </c>
      <c r="L17" s="5">
        <f t="shared" si="28"/>
        <v>1746.9700000000003</v>
      </c>
      <c r="M17" s="6">
        <f t="shared" si="29"/>
        <v>1.3619260514577771</v>
      </c>
      <c r="N17" s="5">
        <f>4382.56</f>
        <v>4382.5600000000004</v>
      </c>
      <c r="O17" s="5">
        <f>4826.87</f>
        <v>4826.87</v>
      </c>
      <c r="P17" s="5">
        <f t="shared" si="30"/>
        <v>-444.30999999999949</v>
      </c>
      <c r="Q17" s="6">
        <f t="shared" si="31"/>
        <v>0.90795070097185138</v>
      </c>
      <c r="R17" s="5">
        <f>4382.56</f>
        <v>4382.5600000000004</v>
      </c>
      <c r="S17" s="5">
        <f>4826.87</f>
        <v>4826.87</v>
      </c>
      <c r="T17" s="5">
        <f t="shared" si="32"/>
        <v>-444.30999999999949</v>
      </c>
      <c r="U17" s="6">
        <f t="shared" si="33"/>
        <v>0.90795070097185138</v>
      </c>
      <c r="V17" s="5">
        <f>4382.56</f>
        <v>4382.5600000000004</v>
      </c>
      <c r="W17" s="5">
        <f>4826.87</f>
        <v>4826.87</v>
      </c>
      <c r="X17" s="5">
        <f t="shared" si="34"/>
        <v>-444.30999999999949</v>
      </c>
      <c r="Y17" s="6">
        <f t="shared" si="35"/>
        <v>0.90795070097185138</v>
      </c>
      <c r="Z17" s="5">
        <f>4382.56</f>
        <v>4382.5600000000004</v>
      </c>
      <c r="AA17" s="5">
        <f>4826.87</f>
        <v>4826.87</v>
      </c>
      <c r="AB17" s="5">
        <f t="shared" si="36"/>
        <v>-444.30999999999949</v>
      </c>
      <c r="AC17" s="6">
        <f t="shared" si="37"/>
        <v>0.90795070097185138</v>
      </c>
      <c r="AD17" s="5">
        <f>4382.56</f>
        <v>4382.5600000000004</v>
      </c>
      <c r="AE17" s="5">
        <f>4826.87</f>
        <v>4826.87</v>
      </c>
      <c r="AF17" s="5">
        <f t="shared" si="38"/>
        <v>-444.30999999999949</v>
      </c>
      <c r="AG17" s="6">
        <f t="shared" si="39"/>
        <v>0.90795070097185138</v>
      </c>
      <c r="AH17" s="5">
        <f>6573.84</f>
        <v>6573.84</v>
      </c>
      <c r="AI17" s="5">
        <f>4826.87</f>
        <v>4826.87</v>
      </c>
      <c r="AJ17" s="5">
        <f t="shared" si="40"/>
        <v>1746.9700000000003</v>
      </c>
      <c r="AK17" s="6">
        <f t="shared" si="41"/>
        <v>1.3619260514577771</v>
      </c>
      <c r="AL17" s="5">
        <f>4382.56</f>
        <v>4382.5600000000004</v>
      </c>
      <c r="AM17" s="5">
        <f>4826.87</f>
        <v>4826.87</v>
      </c>
      <c r="AN17" s="5">
        <f t="shared" si="42"/>
        <v>-444.30999999999949</v>
      </c>
      <c r="AO17" s="4"/>
      <c r="AP17" s="5">
        <f>4826.87</f>
        <v>4826.87</v>
      </c>
      <c r="AQ17" s="5">
        <f t="shared" si="43"/>
        <v>-4826.87</v>
      </c>
      <c r="AR17" s="4"/>
      <c r="AS17" s="5">
        <f>4826.94</f>
        <v>4826.9399999999996</v>
      </c>
      <c r="AT17" s="5">
        <f t="shared" si="44"/>
        <v>-4826.9399999999996</v>
      </c>
      <c r="AU17" s="23">
        <f t="shared" si="45"/>
        <v>46016.880000000005</v>
      </c>
      <c r="AV17" s="14">
        <f t="shared" si="46"/>
        <v>55220.256000000001</v>
      </c>
      <c r="AW17" s="24">
        <f t="shared" si="47"/>
        <v>57922.510000000009</v>
      </c>
      <c r="AX17" s="14">
        <f t="shared" si="48"/>
        <v>-11905.630000000005</v>
      </c>
      <c r="AY17" s="23"/>
      <c r="AZ17" s="14"/>
      <c r="BA17" s="43" t="s">
        <v>169</v>
      </c>
      <c r="BB17" s="24">
        <f>(BB16+BB15)*0.03</f>
        <v>4883.4239999999991</v>
      </c>
    </row>
    <row r="18" spans="1:54" x14ac:dyDescent="0.25">
      <c r="A18" s="3" t="s">
        <v>27</v>
      </c>
      <c r="B18" s="5">
        <f>0</f>
        <v>0</v>
      </c>
      <c r="C18" s="4"/>
      <c r="D18" s="5">
        <f t="shared" si="24"/>
        <v>0</v>
      </c>
      <c r="E18" s="6" t="str">
        <f t="shared" si="25"/>
        <v/>
      </c>
      <c r="F18" s="5">
        <f>0</f>
        <v>0</v>
      </c>
      <c r="G18" s="4"/>
      <c r="H18" s="5">
        <f t="shared" si="26"/>
        <v>0</v>
      </c>
      <c r="I18" s="6" t="str">
        <f t="shared" si="27"/>
        <v/>
      </c>
      <c r="J18" s="5">
        <f>0</f>
        <v>0</v>
      </c>
      <c r="K18" s="4"/>
      <c r="L18" s="5">
        <f t="shared" si="28"/>
        <v>0</v>
      </c>
      <c r="M18" s="6" t="str">
        <f t="shared" si="29"/>
        <v/>
      </c>
      <c r="N18" s="5">
        <f>0</f>
        <v>0</v>
      </c>
      <c r="O18" s="4"/>
      <c r="P18" s="5">
        <f t="shared" si="30"/>
        <v>0</v>
      </c>
      <c r="Q18" s="6" t="str">
        <f t="shared" si="31"/>
        <v/>
      </c>
      <c r="R18" s="5">
        <f>0</f>
        <v>0</v>
      </c>
      <c r="S18" s="4"/>
      <c r="T18" s="5">
        <f t="shared" si="32"/>
        <v>0</v>
      </c>
      <c r="U18" s="6" t="str">
        <f t="shared" si="33"/>
        <v/>
      </c>
      <c r="V18" s="5">
        <f>0</f>
        <v>0</v>
      </c>
      <c r="W18" s="4"/>
      <c r="X18" s="5">
        <f t="shared" si="34"/>
        <v>0</v>
      </c>
      <c r="Y18" s="6" t="str">
        <f t="shared" si="35"/>
        <v/>
      </c>
      <c r="Z18" s="5">
        <f>0</f>
        <v>0</v>
      </c>
      <c r="AA18" s="4"/>
      <c r="AB18" s="5">
        <f t="shared" si="36"/>
        <v>0</v>
      </c>
      <c r="AC18" s="6" t="str">
        <f t="shared" si="37"/>
        <v/>
      </c>
      <c r="AD18" s="5">
        <f>0</f>
        <v>0</v>
      </c>
      <c r="AE18" s="4"/>
      <c r="AF18" s="5">
        <f t="shared" si="38"/>
        <v>0</v>
      </c>
      <c r="AG18" s="6" t="str">
        <f t="shared" si="39"/>
        <v/>
      </c>
      <c r="AH18" s="5">
        <f>0</f>
        <v>0</v>
      </c>
      <c r="AI18" s="4"/>
      <c r="AJ18" s="5">
        <f t="shared" si="40"/>
        <v>0</v>
      </c>
      <c r="AK18" s="6" t="str">
        <f t="shared" si="41"/>
        <v/>
      </c>
      <c r="AL18" s="5">
        <f>0</f>
        <v>0</v>
      </c>
      <c r="AM18" s="4"/>
      <c r="AN18" s="5">
        <f t="shared" si="42"/>
        <v>0</v>
      </c>
      <c r="AO18" s="4"/>
      <c r="AP18" s="4"/>
      <c r="AQ18" s="5">
        <f t="shared" si="43"/>
        <v>0</v>
      </c>
      <c r="AR18" s="4"/>
      <c r="AS18" s="4"/>
      <c r="AT18" s="5">
        <f t="shared" si="44"/>
        <v>0</v>
      </c>
      <c r="AU18" s="23">
        <f t="shared" si="45"/>
        <v>0</v>
      </c>
      <c r="AV18" s="14">
        <f t="shared" si="46"/>
        <v>0</v>
      </c>
      <c r="AW18" s="24">
        <f t="shared" si="47"/>
        <v>0</v>
      </c>
      <c r="AX18" s="14">
        <f t="shared" si="48"/>
        <v>0</v>
      </c>
      <c r="AY18" s="23"/>
      <c r="AZ18" s="14"/>
      <c r="BA18" s="43"/>
      <c r="BB18" s="24"/>
    </row>
    <row r="19" spans="1:54" x14ac:dyDescent="0.25">
      <c r="A19" s="3" t="s">
        <v>28</v>
      </c>
      <c r="B19" s="7">
        <f>(((B15)+(B16))+(B17))+(B18)</f>
        <v>6260.8</v>
      </c>
      <c r="C19" s="7">
        <f>(((C15)+(C16))+(C17))+(C18)</f>
        <v>13791.060000000001</v>
      </c>
      <c r="D19" s="7">
        <f t="shared" si="24"/>
        <v>-7530.2600000000011</v>
      </c>
      <c r="E19" s="8">
        <f t="shared" si="25"/>
        <v>0.45397525643424069</v>
      </c>
      <c r="F19" s="7">
        <f>(((F15)+(F16))+(F17))+(F18)</f>
        <v>12521.6</v>
      </c>
      <c r="G19" s="7">
        <f>(((G15)+(G16))+(G17))+(G18)</f>
        <v>13791.060000000001</v>
      </c>
      <c r="H19" s="7">
        <f t="shared" si="26"/>
        <v>-1269.4600000000009</v>
      </c>
      <c r="I19" s="8">
        <f t="shared" si="27"/>
        <v>0.90795051286848139</v>
      </c>
      <c r="J19" s="7">
        <f>(((J15)+(J16))+(J17))+(J18)</f>
        <v>18782.400000000001</v>
      </c>
      <c r="K19" s="7">
        <f>(((K15)+(K16))+(K17))+(K18)</f>
        <v>13791.060000000001</v>
      </c>
      <c r="L19" s="7">
        <f t="shared" si="28"/>
        <v>4991.34</v>
      </c>
      <c r="M19" s="8">
        <f t="shared" si="29"/>
        <v>1.3619257693027222</v>
      </c>
      <c r="N19" s="7">
        <f>(((N15)+(N16))+(N17))+(N18)</f>
        <v>12521.6</v>
      </c>
      <c r="O19" s="7">
        <f>(((O15)+(O16))+(O17))+(O18)</f>
        <v>13791.060000000001</v>
      </c>
      <c r="P19" s="7">
        <f t="shared" si="30"/>
        <v>-1269.4600000000009</v>
      </c>
      <c r="Q19" s="8">
        <f t="shared" si="31"/>
        <v>0.90795051286848139</v>
      </c>
      <c r="R19" s="7">
        <f>(((R15)+(R16))+(R17))+(R18)</f>
        <v>12521.6</v>
      </c>
      <c r="S19" s="7">
        <f>(((S15)+(S16))+(S17))+(S18)</f>
        <v>13791.060000000001</v>
      </c>
      <c r="T19" s="7">
        <f t="shared" si="32"/>
        <v>-1269.4600000000009</v>
      </c>
      <c r="U19" s="8">
        <f t="shared" si="33"/>
        <v>0.90795051286848139</v>
      </c>
      <c r="V19" s="7">
        <f>(((V15)+(V16))+(V17))+(V18)</f>
        <v>12521.6</v>
      </c>
      <c r="W19" s="7">
        <f>(((W15)+(W16))+(W17))+(W18)</f>
        <v>13791.060000000001</v>
      </c>
      <c r="X19" s="7">
        <f t="shared" si="34"/>
        <v>-1269.4600000000009</v>
      </c>
      <c r="Y19" s="8">
        <f t="shared" si="35"/>
        <v>0.90795051286848139</v>
      </c>
      <c r="Z19" s="7">
        <f>(((Z15)+(Z16))+(Z17))+(Z18)</f>
        <v>12521.6</v>
      </c>
      <c r="AA19" s="7">
        <f>(((AA15)+(AA16))+(AA17))+(AA18)</f>
        <v>13791.060000000001</v>
      </c>
      <c r="AB19" s="7">
        <f t="shared" si="36"/>
        <v>-1269.4600000000009</v>
      </c>
      <c r="AC19" s="8">
        <f t="shared" si="37"/>
        <v>0.90795051286848139</v>
      </c>
      <c r="AD19" s="7">
        <f>(((AD15)+(AD16))+(AD17))+(AD18)</f>
        <v>12521.6</v>
      </c>
      <c r="AE19" s="7">
        <f>(((AE15)+(AE16))+(AE17))+(AE18)</f>
        <v>13791.060000000001</v>
      </c>
      <c r="AF19" s="7">
        <f t="shared" si="38"/>
        <v>-1269.4600000000009</v>
      </c>
      <c r="AG19" s="8">
        <f t="shared" si="39"/>
        <v>0.90795051286848139</v>
      </c>
      <c r="AH19" s="7">
        <f>(((AH15)+(AH16))+(AH17))+(AH18)</f>
        <v>18782.400000000001</v>
      </c>
      <c r="AI19" s="7">
        <f>(((AI15)+(AI16))+(AI17))+(AI18)</f>
        <v>13791.060000000001</v>
      </c>
      <c r="AJ19" s="7">
        <f t="shared" si="40"/>
        <v>4991.34</v>
      </c>
      <c r="AK19" s="8">
        <f t="shared" si="41"/>
        <v>1.3619257693027222</v>
      </c>
      <c r="AL19" s="7">
        <f>(((AL15)+(AL16))+(AL17))+(AL18)</f>
        <v>12521.6</v>
      </c>
      <c r="AM19" s="7">
        <f>(((AM15)+(AM16))+(AM17))+(AM18)</f>
        <v>13791.060000000001</v>
      </c>
      <c r="AN19" s="7">
        <f t="shared" si="42"/>
        <v>-1269.4600000000009</v>
      </c>
      <c r="AO19" s="7">
        <f>(((AO15)+(AO16))+(AO17))+(AO18)</f>
        <v>0</v>
      </c>
      <c r="AP19" s="7">
        <f>(((AP15)+(AP16))+(AP17))+(AP18)</f>
        <v>13791.060000000001</v>
      </c>
      <c r="AQ19" s="7">
        <f t="shared" si="43"/>
        <v>-13791.060000000001</v>
      </c>
      <c r="AR19" s="7">
        <f>(((AR15)+(AR16))+(AR17))+(AR18)</f>
        <v>0</v>
      </c>
      <c r="AS19" s="7">
        <f>(((AS15)+(AS16))+(AS17))+(AS18)</f>
        <v>13791.14</v>
      </c>
      <c r="AT19" s="7">
        <f t="shared" si="44"/>
        <v>-13791.14</v>
      </c>
      <c r="AU19" s="25">
        <f t="shared" si="45"/>
        <v>131476.80000000002</v>
      </c>
      <c r="AV19" s="16">
        <f t="shared" si="46"/>
        <v>157772.16000000003</v>
      </c>
      <c r="AW19" s="26">
        <f t="shared" si="47"/>
        <v>165492.79999999999</v>
      </c>
      <c r="AX19" s="16">
        <f t="shared" si="48"/>
        <v>-34015.999999999971</v>
      </c>
      <c r="AY19" s="25">
        <f>BB19</f>
        <v>167664.22399999999</v>
      </c>
      <c r="AZ19" s="18">
        <f>AY19-AW19</f>
        <v>2171.4239999999991</v>
      </c>
      <c r="BA19" s="13"/>
      <c r="BB19" s="26">
        <f>SUM(BB15:BB18)</f>
        <v>167664.22399999999</v>
      </c>
    </row>
    <row r="20" spans="1:54" x14ac:dyDescent="0.25">
      <c r="A20" s="3" t="s">
        <v>29</v>
      </c>
      <c r="B20" s="4"/>
      <c r="C20" s="4"/>
      <c r="D20" s="5">
        <f t="shared" si="24"/>
        <v>0</v>
      </c>
      <c r="E20" s="6" t="str">
        <f t="shared" si="25"/>
        <v/>
      </c>
      <c r="F20" s="4"/>
      <c r="G20" s="4"/>
      <c r="H20" s="5">
        <f t="shared" si="26"/>
        <v>0</v>
      </c>
      <c r="I20" s="6" t="str">
        <f t="shared" si="27"/>
        <v/>
      </c>
      <c r="J20" s="4"/>
      <c r="K20" s="4"/>
      <c r="L20" s="5">
        <f t="shared" si="28"/>
        <v>0</v>
      </c>
      <c r="M20" s="6" t="str">
        <f t="shared" si="29"/>
        <v/>
      </c>
      <c r="N20" s="4"/>
      <c r="O20" s="4"/>
      <c r="P20" s="5">
        <f t="shared" si="30"/>
        <v>0</v>
      </c>
      <c r="Q20" s="6" t="str">
        <f t="shared" si="31"/>
        <v/>
      </c>
      <c r="R20" s="4"/>
      <c r="S20" s="4"/>
      <c r="T20" s="5">
        <f t="shared" si="32"/>
        <v>0</v>
      </c>
      <c r="U20" s="6" t="str">
        <f t="shared" si="33"/>
        <v/>
      </c>
      <c r="V20" s="4"/>
      <c r="W20" s="4"/>
      <c r="X20" s="5">
        <f t="shared" si="34"/>
        <v>0</v>
      </c>
      <c r="Y20" s="6" t="str">
        <f t="shared" si="35"/>
        <v/>
      </c>
      <c r="Z20" s="4"/>
      <c r="AA20" s="4"/>
      <c r="AB20" s="5">
        <f t="shared" si="36"/>
        <v>0</v>
      </c>
      <c r="AC20" s="6" t="str">
        <f t="shared" si="37"/>
        <v/>
      </c>
      <c r="AD20" s="4"/>
      <c r="AE20" s="4"/>
      <c r="AF20" s="5">
        <f t="shared" si="38"/>
        <v>0</v>
      </c>
      <c r="AG20" s="6" t="str">
        <f t="shared" si="39"/>
        <v/>
      </c>
      <c r="AH20" s="4"/>
      <c r="AI20" s="4"/>
      <c r="AJ20" s="5">
        <f t="shared" si="40"/>
        <v>0</v>
      </c>
      <c r="AK20" s="6" t="str">
        <f t="shared" si="41"/>
        <v/>
      </c>
      <c r="AL20" s="4"/>
      <c r="AM20" s="4"/>
      <c r="AN20" s="5">
        <f t="shared" si="42"/>
        <v>0</v>
      </c>
      <c r="AO20" s="4"/>
      <c r="AP20" s="4"/>
      <c r="AQ20" s="5">
        <f t="shared" si="43"/>
        <v>0</v>
      </c>
      <c r="AR20" s="4"/>
      <c r="AS20" s="4"/>
      <c r="AT20" s="5">
        <f t="shared" si="44"/>
        <v>0</v>
      </c>
      <c r="AU20" s="23">
        <f t="shared" si="45"/>
        <v>0</v>
      </c>
      <c r="AV20" s="14">
        <f t="shared" si="46"/>
        <v>0</v>
      </c>
      <c r="AW20" s="24">
        <f t="shared" si="47"/>
        <v>0</v>
      </c>
      <c r="AX20" s="14">
        <f t="shared" si="48"/>
        <v>0</v>
      </c>
      <c r="AY20" s="23"/>
      <c r="AZ20" s="14"/>
      <c r="BA20" s="13"/>
      <c r="BB20" s="24"/>
    </row>
    <row r="21" spans="1:54" x14ac:dyDescent="0.25">
      <c r="A21" s="3" t="s">
        <v>30</v>
      </c>
      <c r="B21" s="5">
        <f>461.97</f>
        <v>461.97</v>
      </c>
      <c r="C21" s="5">
        <f>555.78</f>
        <v>555.78</v>
      </c>
      <c r="D21" s="5">
        <f t="shared" si="24"/>
        <v>-93.809999999999945</v>
      </c>
      <c r="E21" s="6">
        <f t="shared" si="25"/>
        <v>0.83121019108280259</v>
      </c>
      <c r="F21" s="5">
        <f>481.48</f>
        <v>481.48</v>
      </c>
      <c r="G21" s="5">
        <f>555.78</f>
        <v>555.78</v>
      </c>
      <c r="H21" s="5">
        <f t="shared" si="26"/>
        <v>-74.299999999999955</v>
      </c>
      <c r="I21" s="6">
        <f t="shared" si="27"/>
        <v>0.86631400914030743</v>
      </c>
      <c r="J21" s="5">
        <f>722.22</f>
        <v>722.22</v>
      </c>
      <c r="K21" s="5">
        <f>555.78</f>
        <v>555.78</v>
      </c>
      <c r="L21" s="5">
        <f t="shared" si="28"/>
        <v>166.44000000000005</v>
      </c>
      <c r="M21" s="6">
        <f t="shared" si="29"/>
        <v>1.299471013710461</v>
      </c>
      <c r="N21" s="5">
        <f>481.48</f>
        <v>481.48</v>
      </c>
      <c r="O21" s="5">
        <f>555.78</f>
        <v>555.78</v>
      </c>
      <c r="P21" s="5">
        <f t="shared" si="30"/>
        <v>-74.299999999999955</v>
      </c>
      <c r="Q21" s="6">
        <f t="shared" si="31"/>
        <v>0.86631400914030743</v>
      </c>
      <c r="R21" s="5">
        <f>481.48</f>
        <v>481.48</v>
      </c>
      <c r="S21" s="5">
        <f>555.78</f>
        <v>555.78</v>
      </c>
      <c r="T21" s="5">
        <f t="shared" si="32"/>
        <v>-74.299999999999955</v>
      </c>
      <c r="U21" s="6">
        <f t="shared" si="33"/>
        <v>0.86631400914030743</v>
      </c>
      <c r="V21" s="5">
        <f>481.48</f>
        <v>481.48</v>
      </c>
      <c r="W21" s="5">
        <f>555.78</f>
        <v>555.78</v>
      </c>
      <c r="X21" s="5">
        <f t="shared" si="34"/>
        <v>-74.299999999999955</v>
      </c>
      <c r="Y21" s="6">
        <f t="shared" si="35"/>
        <v>0.86631400914030743</v>
      </c>
      <c r="Z21" s="5">
        <f>481.48</f>
        <v>481.48</v>
      </c>
      <c r="AA21" s="5">
        <f>555.78</f>
        <v>555.78</v>
      </c>
      <c r="AB21" s="5">
        <f t="shared" si="36"/>
        <v>-74.299999999999955</v>
      </c>
      <c r="AC21" s="6">
        <f t="shared" si="37"/>
        <v>0.86631400914030743</v>
      </c>
      <c r="AD21" s="5">
        <f>481.48</f>
        <v>481.48</v>
      </c>
      <c r="AE21" s="5">
        <f>555.78</f>
        <v>555.78</v>
      </c>
      <c r="AF21" s="5">
        <f t="shared" si="38"/>
        <v>-74.299999999999955</v>
      </c>
      <c r="AG21" s="6">
        <f t="shared" si="39"/>
        <v>0.86631400914030743</v>
      </c>
      <c r="AH21" s="5">
        <f>722.22</f>
        <v>722.22</v>
      </c>
      <c r="AI21" s="5">
        <f>555.78</f>
        <v>555.78</v>
      </c>
      <c r="AJ21" s="5">
        <f t="shared" si="40"/>
        <v>166.44000000000005</v>
      </c>
      <c r="AK21" s="6">
        <f t="shared" si="41"/>
        <v>1.299471013710461</v>
      </c>
      <c r="AL21" s="5">
        <f>481.48</f>
        <v>481.48</v>
      </c>
      <c r="AM21" s="5">
        <f>555.78</f>
        <v>555.78</v>
      </c>
      <c r="AN21" s="5">
        <f t="shared" si="42"/>
        <v>-74.299999999999955</v>
      </c>
      <c r="AO21" s="4"/>
      <c r="AP21" s="5">
        <f>555.78</f>
        <v>555.78</v>
      </c>
      <c r="AQ21" s="5">
        <f t="shared" si="43"/>
        <v>-555.78</v>
      </c>
      <c r="AR21" s="4"/>
      <c r="AS21" s="5">
        <f>555.78</f>
        <v>555.78</v>
      </c>
      <c r="AT21" s="5">
        <f t="shared" si="44"/>
        <v>-555.78</v>
      </c>
      <c r="AU21" s="23">
        <f t="shared" si="45"/>
        <v>5276.77</v>
      </c>
      <c r="AV21" s="14">
        <f t="shared" si="46"/>
        <v>6332.1239999999998</v>
      </c>
      <c r="AW21" s="24">
        <f t="shared" si="47"/>
        <v>6669.3599999999979</v>
      </c>
      <c r="AX21" s="14">
        <f t="shared" si="48"/>
        <v>-1392.5899999999974</v>
      </c>
      <c r="AY21" s="23"/>
      <c r="AZ21" s="14"/>
      <c r="BA21" s="13" t="s">
        <v>140</v>
      </c>
      <c r="BB21" s="24">
        <f>BB19*0.062</f>
        <v>10395.181887999999</v>
      </c>
    </row>
    <row r="22" spans="1:54" x14ac:dyDescent="0.25">
      <c r="A22" s="3" t="s">
        <v>31</v>
      </c>
      <c r="B22" s="5">
        <f>248.76</f>
        <v>248.76</v>
      </c>
      <c r="C22" s="5">
        <f>299.27</f>
        <v>299.27</v>
      </c>
      <c r="D22" s="5">
        <f t="shared" si="24"/>
        <v>-50.509999999999991</v>
      </c>
      <c r="E22" s="6">
        <f t="shared" si="25"/>
        <v>0.83122264176161997</v>
      </c>
      <c r="F22" s="5">
        <f>259.26</f>
        <v>259.26</v>
      </c>
      <c r="G22" s="5">
        <f>299.27</f>
        <v>299.27</v>
      </c>
      <c r="H22" s="5">
        <f t="shared" si="26"/>
        <v>-40.009999999999991</v>
      </c>
      <c r="I22" s="6">
        <f t="shared" si="27"/>
        <v>0.86630801617268693</v>
      </c>
      <c r="J22" s="5">
        <f>388.89</f>
        <v>388.89</v>
      </c>
      <c r="K22" s="5">
        <f>299.27</f>
        <v>299.27</v>
      </c>
      <c r="L22" s="5">
        <f t="shared" si="28"/>
        <v>89.62</v>
      </c>
      <c r="M22" s="6">
        <f t="shared" si="29"/>
        <v>1.2994620242590302</v>
      </c>
      <c r="N22" s="5">
        <f>259.26</f>
        <v>259.26</v>
      </c>
      <c r="O22" s="5">
        <f>299.27</f>
        <v>299.27</v>
      </c>
      <c r="P22" s="5">
        <f t="shared" si="30"/>
        <v>-40.009999999999991</v>
      </c>
      <c r="Q22" s="6">
        <f t="shared" si="31"/>
        <v>0.86630801617268693</v>
      </c>
      <c r="R22" s="5">
        <f>259.26</f>
        <v>259.26</v>
      </c>
      <c r="S22" s="5">
        <f>299.27</f>
        <v>299.27</v>
      </c>
      <c r="T22" s="5">
        <f t="shared" si="32"/>
        <v>-40.009999999999991</v>
      </c>
      <c r="U22" s="6">
        <f t="shared" si="33"/>
        <v>0.86630801617268693</v>
      </c>
      <c r="V22" s="5">
        <f>259.26</f>
        <v>259.26</v>
      </c>
      <c r="W22" s="5">
        <f>299.27</f>
        <v>299.27</v>
      </c>
      <c r="X22" s="5">
        <f t="shared" si="34"/>
        <v>-40.009999999999991</v>
      </c>
      <c r="Y22" s="6">
        <f t="shared" si="35"/>
        <v>0.86630801617268693</v>
      </c>
      <c r="Z22" s="5">
        <f>259.26</f>
        <v>259.26</v>
      </c>
      <c r="AA22" s="5">
        <f>299.27</f>
        <v>299.27</v>
      </c>
      <c r="AB22" s="5">
        <f t="shared" si="36"/>
        <v>-40.009999999999991</v>
      </c>
      <c r="AC22" s="6">
        <f t="shared" si="37"/>
        <v>0.86630801617268693</v>
      </c>
      <c r="AD22" s="5">
        <f>259.26</f>
        <v>259.26</v>
      </c>
      <c r="AE22" s="5">
        <f>299.27</f>
        <v>299.27</v>
      </c>
      <c r="AF22" s="5">
        <f t="shared" si="38"/>
        <v>-40.009999999999991</v>
      </c>
      <c r="AG22" s="6">
        <f t="shared" si="39"/>
        <v>0.86630801617268693</v>
      </c>
      <c r="AH22" s="5">
        <f>388.89</f>
        <v>388.89</v>
      </c>
      <c r="AI22" s="5">
        <f>299.27</f>
        <v>299.27</v>
      </c>
      <c r="AJ22" s="5">
        <f t="shared" si="40"/>
        <v>89.62</v>
      </c>
      <c r="AK22" s="6">
        <f t="shared" si="41"/>
        <v>1.2994620242590302</v>
      </c>
      <c r="AL22" s="5">
        <f>259.26</f>
        <v>259.26</v>
      </c>
      <c r="AM22" s="5">
        <f>299.27</f>
        <v>299.27</v>
      </c>
      <c r="AN22" s="5">
        <f t="shared" si="42"/>
        <v>-40.009999999999991</v>
      </c>
      <c r="AO22" s="4"/>
      <c r="AP22" s="5">
        <f>299.27</f>
        <v>299.27</v>
      </c>
      <c r="AQ22" s="5">
        <f t="shared" si="43"/>
        <v>-299.27</v>
      </c>
      <c r="AR22" s="4"/>
      <c r="AS22" s="5">
        <f>298.67</f>
        <v>298.67</v>
      </c>
      <c r="AT22" s="5">
        <f t="shared" si="44"/>
        <v>-298.67</v>
      </c>
      <c r="AU22" s="23">
        <f t="shared" si="45"/>
        <v>2841.3599999999997</v>
      </c>
      <c r="AV22" s="14">
        <f t="shared" si="46"/>
        <v>3409.6319999999996</v>
      </c>
      <c r="AW22" s="24">
        <f t="shared" si="47"/>
        <v>3590.64</v>
      </c>
      <c r="AX22" s="14">
        <f t="shared" si="48"/>
        <v>-749.2800000000002</v>
      </c>
      <c r="AY22" s="23"/>
      <c r="AZ22" s="14"/>
      <c r="BA22" s="13"/>
      <c r="BB22" s="24"/>
    </row>
    <row r="23" spans="1:54" x14ac:dyDescent="0.25">
      <c r="A23" s="3" t="s">
        <v>32</v>
      </c>
      <c r="B23" s="5">
        <f>0</f>
        <v>0</v>
      </c>
      <c r="C23" s="4"/>
      <c r="D23" s="5">
        <f t="shared" si="24"/>
        <v>0</v>
      </c>
      <c r="E23" s="6" t="str">
        <f t="shared" si="25"/>
        <v/>
      </c>
      <c r="F23" s="5">
        <f>0</f>
        <v>0</v>
      </c>
      <c r="G23" s="4"/>
      <c r="H23" s="5">
        <f t="shared" si="26"/>
        <v>0</v>
      </c>
      <c r="I23" s="6" t="str">
        <f t="shared" si="27"/>
        <v/>
      </c>
      <c r="J23" s="5">
        <f>0</f>
        <v>0</v>
      </c>
      <c r="K23" s="4"/>
      <c r="L23" s="5">
        <f t="shared" si="28"/>
        <v>0</v>
      </c>
      <c r="M23" s="6" t="str">
        <f t="shared" si="29"/>
        <v/>
      </c>
      <c r="N23" s="5">
        <f>0</f>
        <v>0</v>
      </c>
      <c r="O23" s="4"/>
      <c r="P23" s="5">
        <f t="shared" si="30"/>
        <v>0</v>
      </c>
      <c r="Q23" s="6" t="str">
        <f t="shared" si="31"/>
        <v/>
      </c>
      <c r="R23" s="5">
        <f>0</f>
        <v>0</v>
      </c>
      <c r="S23" s="4"/>
      <c r="T23" s="5">
        <f t="shared" si="32"/>
        <v>0</v>
      </c>
      <c r="U23" s="6" t="str">
        <f t="shared" si="33"/>
        <v/>
      </c>
      <c r="V23" s="5">
        <f>0</f>
        <v>0</v>
      </c>
      <c r="W23" s="4"/>
      <c r="X23" s="5">
        <f t="shared" si="34"/>
        <v>0</v>
      </c>
      <c r="Y23" s="6" t="str">
        <f t="shared" si="35"/>
        <v/>
      </c>
      <c r="Z23" s="5">
        <f>0</f>
        <v>0</v>
      </c>
      <c r="AA23" s="4"/>
      <c r="AB23" s="5">
        <f t="shared" si="36"/>
        <v>0</v>
      </c>
      <c r="AC23" s="6" t="str">
        <f t="shared" si="37"/>
        <v/>
      </c>
      <c r="AD23" s="5">
        <f>0</f>
        <v>0</v>
      </c>
      <c r="AE23" s="4"/>
      <c r="AF23" s="5">
        <f t="shared" si="38"/>
        <v>0</v>
      </c>
      <c r="AG23" s="6" t="str">
        <f t="shared" si="39"/>
        <v/>
      </c>
      <c r="AH23" s="5">
        <f>0</f>
        <v>0</v>
      </c>
      <c r="AI23" s="4"/>
      <c r="AJ23" s="5">
        <f t="shared" si="40"/>
        <v>0</v>
      </c>
      <c r="AK23" s="6" t="str">
        <f t="shared" si="41"/>
        <v/>
      </c>
      <c r="AL23" s="5">
        <f>0</f>
        <v>0</v>
      </c>
      <c r="AM23" s="4"/>
      <c r="AN23" s="5">
        <f t="shared" si="42"/>
        <v>0</v>
      </c>
      <c r="AO23" s="4"/>
      <c r="AP23" s="4"/>
      <c r="AQ23" s="5">
        <f t="shared" si="43"/>
        <v>0</v>
      </c>
      <c r="AR23" s="4"/>
      <c r="AS23" s="4"/>
      <c r="AT23" s="5">
        <f t="shared" si="44"/>
        <v>0</v>
      </c>
      <c r="AU23" s="23">
        <f t="shared" si="45"/>
        <v>0</v>
      </c>
      <c r="AV23" s="14">
        <f t="shared" si="46"/>
        <v>0</v>
      </c>
      <c r="AW23" s="24">
        <f t="shared" si="47"/>
        <v>0</v>
      </c>
      <c r="AX23" s="14">
        <f t="shared" si="48"/>
        <v>0</v>
      </c>
      <c r="AY23" s="23"/>
      <c r="AZ23" s="14"/>
      <c r="BA23" s="13"/>
      <c r="BB23" s="24"/>
    </row>
    <row r="24" spans="1:54" ht="23.25" x14ac:dyDescent="0.25">
      <c r="A24" s="3" t="s">
        <v>33</v>
      </c>
      <c r="B24" s="7">
        <f>(((B20)+(B21))+(B22))+(B23)</f>
        <v>710.73</v>
      </c>
      <c r="C24" s="7">
        <f>(((C20)+(C21))+(C22))+(C23)</f>
        <v>855.05</v>
      </c>
      <c r="D24" s="7">
        <f t="shared" si="24"/>
        <v>-144.31999999999994</v>
      </c>
      <c r="E24" s="8">
        <f t="shared" si="25"/>
        <v>0.83121454885679202</v>
      </c>
      <c r="F24" s="7">
        <f>(((F20)+(F21))+(F22))+(F23)</f>
        <v>740.74</v>
      </c>
      <c r="G24" s="7">
        <f>(((G20)+(G21))+(G22))+(G23)</f>
        <v>855.05</v>
      </c>
      <c r="H24" s="7">
        <f t="shared" si="26"/>
        <v>-114.30999999999995</v>
      </c>
      <c r="I24" s="8">
        <f t="shared" si="27"/>
        <v>0.86631191158411791</v>
      </c>
      <c r="J24" s="7">
        <f>(((J20)+(J21))+(J22))+(J23)</f>
        <v>1111.1100000000001</v>
      </c>
      <c r="K24" s="7">
        <f>(((K20)+(K21))+(K22))+(K23)</f>
        <v>855.05</v>
      </c>
      <c r="L24" s="7">
        <f t="shared" si="28"/>
        <v>256.06000000000017</v>
      </c>
      <c r="M24" s="8">
        <f t="shared" si="29"/>
        <v>1.299467867376177</v>
      </c>
      <c r="N24" s="7">
        <f>(((N20)+(N21))+(N22))+(N23)</f>
        <v>740.74</v>
      </c>
      <c r="O24" s="7">
        <f>(((O20)+(O21))+(O22))+(O23)</f>
        <v>855.05</v>
      </c>
      <c r="P24" s="7">
        <f t="shared" si="30"/>
        <v>-114.30999999999995</v>
      </c>
      <c r="Q24" s="8">
        <f t="shared" si="31"/>
        <v>0.86631191158411791</v>
      </c>
      <c r="R24" s="7">
        <f>(((R20)+(R21))+(R22))+(R23)</f>
        <v>740.74</v>
      </c>
      <c r="S24" s="7">
        <f>(((S20)+(S21))+(S22))+(S23)</f>
        <v>855.05</v>
      </c>
      <c r="T24" s="7">
        <f t="shared" si="32"/>
        <v>-114.30999999999995</v>
      </c>
      <c r="U24" s="8">
        <f t="shared" si="33"/>
        <v>0.86631191158411791</v>
      </c>
      <c r="V24" s="7">
        <f>(((V20)+(V21))+(V22))+(V23)</f>
        <v>740.74</v>
      </c>
      <c r="W24" s="7">
        <f>(((W20)+(W21))+(W22))+(W23)</f>
        <v>855.05</v>
      </c>
      <c r="X24" s="7">
        <f t="shared" si="34"/>
        <v>-114.30999999999995</v>
      </c>
      <c r="Y24" s="8">
        <f t="shared" si="35"/>
        <v>0.86631191158411791</v>
      </c>
      <c r="Z24" s="7">
        <f>(((Z20)+(Z21))+(Z22))+(Z23)</f>
        <v>740.74</v>
      </c>
      <c r="AA24" s="7">
        <f>(((AA20)+(AA21))+(AA22))+(AA23)</f>
        <v>855.05</v>
      </c>
      <c r="AB24" s="7">
        <f t="shared" si="36"/>
        <v>-114.30999999999995</v>
      </c>
      <c r="AC24" s="8">
        <f t="shared" si="37"/>
        <v>0.86631191158411791</v>
      </c>
      <c r="AD24" s="7">
        <f>(((AD20)+(AD21))+(AD22))+(AD23)</f>
        <v>740.74</v>
      </c>
      <c r="AE24" s="7">
        <f>(((AE20)+(AE21))+(AE22))+(AE23)</f>
        <v>855.05</v>
      </c>
      <c r="AF24" s="7">
        <f t="shared" si="38"/>
        <v>-114.30999999999995</v>
      </c>
      <c r="AG24" s="8">
        <f t="shared" si="39"/>
        <v>0.86631191158411791</v>
      </c>
      <c r="AH24" s="7">
        <f>(((AH20)+(AH21))+(AH22))+(AH23)</f>
        <v>1111.1100000000001</v>
      </c>
      <c r="AI24" s="7">
        <f>(((AI20)+(AI21))+(AI22))+(AI23)</f>
        <v>855.05</v>
      </c>
      <c r="AJ24" s="7">
        <f t="shared" si="40"/>
        <v>256.06000000000017</v>
      </c>
      <c r="AK24" s="8">
        <f t="shared" si="41"/>
        <v>1.299467867376177</v>
      </c>
      <c r="AL24" s="7">
        <f>(((AL20)+(AL21))+(AL22))+(AL23)</f>
        <v>740.74</v>
      </c>
      <c r="AM24" s="7">
        <f>(((AM20)+(AM21))+(AM22))+(AM23)</f>
        <v>855.05</v>
      </c>
      <c r="AN24" s="7">
        <f t="shared" si="42"/>
        <v>-114.30999999999995</v>
      </c>
      <c r="AO24" s="7">
        <f>(((AO20)+(AO21))+(AO22))+(AO23)</f>
        <v>0</v>
      </c>
      <c r="AP24" s="7">
        <f>(((AP20)+(AP21))+(AP22))+(AP23)</f>
        <v>855.05</v>
      </c>
      <c r="AQ24" s="7">
        <f t="shared" si="43"/>
        <v>-855.05</v>
      </c>
      <c r="AR24" s="7">
        <f>(((AR20)+(AR21))+(AR22))+(AR23)</f>
        <v>0</v>
      </c>
      <c r="AS24" s="7">
        <f>(((AS20)+(AS21))+(AS22))+(AS23)</f>
        <v>854.45</v>
      </c>
      <c r="AT24" s="7">
        <f t="shared" si="44"/>
        <v>-854.45</v>
      </c>
      <c r="AU24" s="25">
        <f t="shared" si="45"/>
        <v>8118.1299999999992</v>
      </c>
      <c r="AV24" s="16">
        <f t="shared" si="46"/>
        <v>9741.7559999999976</v>
      </c>
      <c r="AW24" s="26">
        <f t="shared" si="47"/>
        <v>10260</v>
      </c>
      <c r="AX24" s="16">
        <f t="shared" si="48"/>
        <v>-2141.8700000000008</v>
      </c>
      <c r="AY24" s="25">
        <f>BB24</f>
        <v>10395.181887999999</v>
      </c>
      <c r="AZ24" s="18">
        <f>AY24-AW24</f>
        <v>135.18188799999916</v>
      </c>
      <c r="BA24" s="13"/>
      <c r="BB24" s="26">
        <f>BB19*0.062</f>
        <v>10395.181887999999</v>
      </c>
    </row>
    <row r="25" spans="1:54" x14ac:dyDescent="0.25">
      <c r="A25" s="3" t="s">
        <v>34</v>
      </c>
      <c r="B25" s="4"/>
      <c r="C25" s="4"/>
      <c r="D25" s="5">
        <f t="shared" si="24"/>
        <v>0</v>
      </c>
      <c r="E25" s="6" t="str">
        <f t="shared" si="25"/>
        <v/>
      </c>
      <c r="F25" s="4"/>
      <c r="G25" s="4"/>
      <c r="H25" s="5">
        <f t="shared" si="26"/>
        <v>0</v>
      </c>
      <c r="I25" s="6" t="str">
        <f t="shared" si="27"/>
        <v/>
      </c>
      <c r="J25" s="4"/>
      <c r="K25" s="4"/>
      <c r="L25" s="5">
        <f t="shared" si="28"/>
        <v>0</v>
      </c>
      <c r="M25" s="6" t="str">
        <f t="shared" si="29"/>
        <v/>
      </c>
      <c r="N25" s="4"/>
      <c r="O25" s="4"/>
      <c r="P25" s="5">
        <f t="shared" si="30"/>
        <v>0</v>
      </c>
      <c r="Q25" s="6" t="str">
        <f t="shared" si="31"/>
        <v/>
      </c>
      <c r="R25" s="4"/>
      <c r="S25" s="4"/>
      <c r="T25" s="5">
        <f t="shared" si="32"/>
        <v>0</v>
      </c>
      <c r="U25" s="6" t="str">
        <f t="shared" si="33"/>
        <v/>
      </c>
      <c r="V25" s="4"/>
      <c r="W25" s="4"/>
      <c r="X25" s="5">
        <f t="shared" si="34"/>
        <v>0</v>
      </c>
      <c r="Y25" s="6" t="str">
        <f t="shared" si="35"/>
        <v/>
      </c>
      <c r="Z25" s="4"/>
      <c r="AA25" s="4"/>
      <c r="AB25" s="5">
        <f t="shared" si="36"/>
        <v>0</v>
      </c>
      <c r="AC25" s="6" t="str">
        <f t="shared" si="37"/>
        <v/>
      </c>
      <c r="AD25" s="4"/>
      <c r="AE25" s="4"/>
      <c r="AF25" s="5">
        <f t="shared" si="38"/>
        <v>0</v>
      </c>
      <c r="AG25" s="6" t="str">
        <f t="shared" si="39"/>
        <v/>
      </c>
      <c r="AH25" s="4"/>
      <c r="AI25" s="4"/>
      <c r="AJ25" s="5">
        <f t="shared" si="40"/>
        <v>0</v>
      </c>
      <c r="AK25" s="6" t="str">
        <f t="shared" si="41"/>
        <v/>
      </c>
      <c r="AL25" s="4"/>
      <c r="AM25" s="4"/>
      <c r="AN25" s="5">
        <f t="shared" si="42"/>
        <v>0</v>
      </c>
      <c r="AO25" s="4"/>
      <c r="AP25" s="4"/>
      <c r="AQ25" s="5">
        <f t="shared" si="43"/>
        <v>0</v>
      </c>
      <c r="AR25" s="4"/>
      <c r="AS25" s="4"/>
      <c r="AT25" s="5">
        <f t="shared" si="44"/>
        <v>0</v>
      </c>
      <c r="AU25" s="23">
        <f t="shared" si="45"/>
        <v>0</v>
      </c>
      <c r="AV25" s="14">
        <f t="shared" si="46"/>
        <v>0</v>
      </c>
      <c r="AW25" s="24">
        <f t="shared" si="47"/>
        <v>0</v>
      </c>
      <c r="AX25" s="14">
        <f t="shared" si="48"/>
        <v>0</v>
      </c>
      <c r="AY25" s="23"/>
      <c r="AZ25" s="14"/>
      <c r="BA25" s="13"/>
      <c r="BB25" s="24"/>
    </row>
    <row r="26" spans="1:54" x14ac:dyDescent="0.25">
      <c r="A26" s="3" t="s">
        <v>35</v>
      </c>
      <c r="B26" s="5">
        <f>108.04</f>
        <v>108.04</v>
      </c>
      <c r="C26" s="5">
        <f>129.98</f>
        <v>129.97999999999999</v>
      </c>
      <c r="D26" s="5">
        <f t="shared" si="24"/>
        <v>-21.939999999999984</v>
      </c>
      <c r="E26" s="6">
        <f t="shared" si="25"/>
        <v>0.83120480073857528</v>
      </c>
      <c r="F26" s="5">
        <f>112.61</f>
        <v>112.61</v>
      </c>
      <c r="G26" s="5">
        <f>129.98</f>
        <v>129.97999999999999</v>
      </c>
      <c r="H26" s="5">
        <f t="shared" si="26"/>
        <v>-17.36999999999999</v>
      </c>
      <c r="I26" s="6">
        <f t="shared" si="27"/>
        <v>0.86636405600861677</v>
      </c>
      <c r="J26" s="5">
        <f>168.91</f>
        <v>168.91</v>
      </c>
      <c r="K26" s="5">
        <f>129.98</f>
        <v>129.97999999999999</v>
      </c>
      <c r="L26" s="5">
        <f t="shared" si="28"/>
        <v>38.930000000000007</v>
      </c>
      <c r="M26" s="6">
        <f t="shared" si="29"/>
        <v>1.2995076165563935</v>
      </c>
      <c r="N26" s="5">
        <f>112.61</f>
        <v>112.61</v>
      </c>
      <c r="O26" s="5">
        <f>129.98</f>
        <v>129.97999999999999</v>
      </c>
      <c r="P26" s="5">
        <f t="shared" si="30"/>
        <v>-17.36999999999999</v>
      </c>
      <c r="Q26" s="6">
        <f t="shared" si="31"/>
        <v>0.86636405600861677</v>
      </c>
      <c r="R26" s="5">
        <f>112.61</f>
        <v>112.61</v>
      </c>
      <c r="S26" s="5">
        <f>129.98</f>
        <v>129.97999999999999</v>
      </c>
      <c r="T26" s="5">
        <f t="shared" si="32"/>
        <v>-17.36999999999999</v>
      </c>
      <c r="U26" s="6">
        <f t="shared" si="33"/>
        <v>0.86636405600861677</v>
      </c>
      <c r="V26" s="5">
        <f>112.61</f>
        <v>112.61</v>
      </c>
      <c r="W26" s="5">
        <f>129.98</f>
        <v>129.97999999999999</v>
      </c>
      <c r="X26" s="5">
        <f t="shared" si="34"/>
        <v>-17.36999999999999</v>
      </c>
      <c r="Y26" s="6">
        <f t="shared" si="35"/>
        <v>0.86636405600861677</v>
      </c>
      <c r="Z26" s="5">
        <f>112.61</f>
        <v>112.61</v>
      </c>
      <c r="AA26" s="5">
        <f>129.98</f>
        <v>129.97999999999999</v>
      </c>
      <c r="AB26" s="5">
        <f t="shared" si="36"/>
        <v>-17.36999999999999</v>
      </c>
      <c r="AC26" s="6">
        <f t="shared" si="37"/>
        <v>0.86636405600861677</v>
      </c>
      <c r="AD26" s="5">
        <f>112.61</f>
        <v>112.61</v>
      </c>
      <c r="AE26" s="5">
        <f>129.98</f>
        <v>129.97999999999999</v>
      </c>
      <c r="AF26" s="5">
        <f t="shared" si="38"/>
        <v>-17.36999999999999</v>
      </c>
      <c r="AG26" s="6">
        <f t="shared" si="39"/>
        <v>0.86636405600861677</v>
      </c>
      <c r="AH26" s="5">
        <f>168.91</f>
        <v>168.91</v>
      </c>
      <c r="AI26" s="5">
        <f>129.98</f>
        <v>129.97999999999999</v>
      </c>
      <c r="AJ26" s="5">
        <f t="shared" si="40"/>
        <v>38.930000000000007</v>
      </c>
      <c r="AK26" s="6">
        <f t="shared" si="41"/>
        <v>1.2995076165563935</v>
      </c>
      <c r="AL26" s="5">
        <f>112.61</f>
        <v>112.61</v>
      </c>
      <c r="AM26" s="5">
        <f>129.98</f>
        <v>129.97999999999999</v>
      </c>
      <c r="AN26" s="5">
        <f t="shared" si="42"/>
        <v>-17.36999999999999</v>
      </c>
      <c r="AO26" s="4"/>
      <c r="AP26" s="5">
        <f>129.98</f>
        <v>129.97999999999999</v>
      </c>
      <c r="AQ26" s="5">
        <f t="shared" si="43"/>
        <v>-129.97999999999999</v>
      </c>
      <c r="AR26" s="4"/>
      <c r="AS26" s="5">
        <f>129.98</f>
        <v>129.97999999999999</v>
      </c>
      <c r="AT26" s="5">
        <f t="shared" si="44"/>
        <v>-129.97999999999999</v>
      </c>
      <c r="AU26" s="23">
        <f t="shared" si="45"/>
        <v>1234.1299999999999</v>
      </c>
      <c r="AV26" s="14">
        <f t="shared" si="46"/>
        <v>1480.9559999999997</v>
      </c>
      <c r="AW26" s="24">
        <f t="shared" si="47"/>
        <v>1559.76</v>
      </c>
      <c r="AX26" s="14">
        <f t="shared" si="48"/>
        <v>-325.63000000000011</v>
      </c>
      <c r="AY26" s="23"/>
      <c r="AZ26" s="14"/>
      <c r="BA26" s="13" t="s">
        <v>141</v>
      </c>
      <c r="BB26" s="24">
        <f>BB19*0.0145</f>
        <v>2431.1312480000001</v>
      </c>
    </row>
    <row r="27" spans="1:54" x14ac:dyDescent="0.25">
      <c r="A27" s="3" t="s">
        <v>36</v>
      </c>
      <c r="B27" s="5">
        <f>58.18</f>
        <v>58.18</v>
      </c>
      <c r="C27" s="5">
        <f>69.99</f>
        <v>69.989999999999995</v>
      </c>
      <c r="D27" s="5">
        <f t="shared" si="24"/>
        <v>-11.809999999999995</v>
      </c>
      <c r="E27" s="6">
        <f t="shared" si="25"/>
        <v>0.83126160880125743</v>
      </c>
      <c r="F27" s="5">
        <f>60.63</f>
        <v>60.63</v>
      </c>
      <c r="G27" s="5">
        <f>69.99</f>
        <v>69.989999999999995</v>
      </c>
      <c r="H27" s="5">
        <f t="shared" si="26"/>
        <v>-9.3599999999999923</v>
      </c>
      <c r="I27" s="6">
        <f t="shared" si="27"/>
        <v>0.86626660951564516</v>
      </c>
      <c r="J27" s="5">
        <f>90.95</f>
        <v>90.95</v>
      </c>
      <c r="K27" s="5">
        <f>69.99</f>
        <v>69.989999999999995</v>
      </c>
      <c r="L27" s="5">
        <f t="shared" si="28"/>
        <v>20.960000000000008</v>
      </c>
      <c r="M27" s="6">
        <f t="shared" si="29"/>
        <v>1.2994713530504358</v>
      </c>
      <c r="N27" s="5">
        <f>60.63</f>
        <v>60.63</v>
      </c>
      <c r="O27" s="5">
        <f>69.99</f>
        <v>69.989999999999995</v>
      </c>
      <c r="P27" s="5">
        <f t="shared" si="30"/>
        <v>-9.3599999999999923</v>
      </c>
      <c r="Q27" s="6">
        <f t="shared" si="31"/>
        <v>0.86626660951564516</v>
      </c>
      <c r="R27" s="5">
        <f>60.63</f>
        <v>60.63</v>
      </c>
      <c r="S27" s="5">
        <f>69.99</f>
        <v>69.989999999999995</v>
      </c>
      <c r="T27" s="5">
        <f t="shared" si="32"/>
        <v>-9.3599999999999923</v>
      </c>
      <c r="U27" s="6">
        <f t="shared" si="33"/>
        <v>0.86626660951564516</v>
      </c>
      <c r="V27" s="5">
        <f>60.63</f>
        <v>60.63</v>
      </c>
      <c r="W27" s="5">
        <f>69.99</f>
        <v>69.989999999999995</v>
      </c>
      <c r="X27" s="5">
        <f t="shared" si="34"/>
        <v>-9.3599999999999923</v>
      </c>
      <c r="Y27" s="6">
        <f t="shared" si="35"/>
        <v>0.86626660951564516</v>
      </c>
      <c r="Z27" s="5">
        <f>60.63</f>
        <v>60.63</v>
      </c>
      <c r="AA27" s="5">
        <f>69.99</f>
        <v>69.989999999999995</v>
      </c>
      <c r="AB27" s="5">
        <f t="shared" si="36"/>
        <v>-9.3599999999999923</v>
      </c>
      <c r="AC27" s="6">
        <f t="shared" si="37"/>
        <v>0.86626660951564516</v>
      </c>
      <c r="AD27" s="5">
        <f>60.63</f>
        <v>60.63</v>
      </c>
      <c r="AE27" s="5">
        <f>69.99</f>
        <v>69.989999999999995</v>
      </c>
      <c r="AF27" s="5">
        <f t="shared" si="38"/>
        <v>-9.3599999999999923</v>
      </c>
      <c r="AG27" s="6">
        <f t="shared" si="39"/>
        <v>0.86626660951564516</v>
      </c>
      <c r="AH27" s="5">
        <f>90.95</f>
        <v>90.95</v>
      </c>
      <c r="AI27" s="5">
        <f>69.99</f>
        <v>69.989999999999995</v>
      </c>
      <c r="AJ27" s="5">
        <f t="shared" si="40"/>
        <v>20.960000000000008</v>
      </c>
      <c r="AK27" s="6">
        <f t="shared" si="41"/>
        <v>1.2994713530504358</v>
      </c>
      <c r="AL27" s="5">
        <f>60.63</f>
        <v>60.63</v>
      </c>
      <c r="AM27" s="5">
        <f>69.99</f>
        <v>69.989999999999995</v>
      </c>
      <c r="AN27" s="5">
        <f t="shared" si="42"/>
        <v>-9.3599999999999923</v>
      </c>
      <c r="AO27" s="4"/>
      <c r="AP27" s="5">
        <f>69.99</f>
        <v>69.989999999999995</v>
      </c>
      <c r="AQ27" s="5">
        <f t="shared" si="43"/>
        <v>-69.989999999999995</v>
      </c>
      <c r="AR27" s="4"/>
      <c r="AS27" s="5">
        <f>70.55</f>
        <v>70.55</v>
      </c>
      <c r="AT27" s="5">
        <f t="shared" si="44"/>
        <v>-70.55</v>
      </c>
      <c r="AU27" s="23">
        <f t="shared" si="45"/>
        <v>664.49</v>
      </c>
      <c r="AV27" s="14">
        <f t="shared" si="46"/>
        <v>797.38799999999992</v>
      </c>
      <c r="AW27" s="24">
        <f t="shared" si="47"/>
        <v>840.43999999999994</v>
      </c>
      <c r="AX27" s="14">
        <f t="shared" si="48"/>
        <v>-175.94999999999993</v>
      </c>
      <c r="AY27" s="23"/>
      <c r="AZ27" s="14"/>
      <c r="BA27" s="13"/>
      <c r="BB27" s="24"/>
    </row>
    <row r="28" spans="1:54" x14ac:dyDescent="0.25">
      <c r="A28" s="3" t="s">
        <v>37</v>
      </c>
      <c r="B28" s="5">
        <f>0</f>
        <v>0</v>
      </c>
      <c r="C28" s="4"/>
      <c r="D28" s="5">
        <f t="shared" si="24"/>
        <v>0</v>
      </c>
      <c r="E28" s="6" t="str">
        <f t="shared" si="25"/>
        <v/>
      </c>
      <c r="F28" s="5">
        <f>0</f>
        <v>0</v>
      </c>
      <c r="G28" s="4"/>
      <c r="H28" s="5">
        <f t="shared" si="26"/>
        <v>0</v>
      </c>
      <c r="I28" s="6" t="str">
        <f t="shared" si="27"/>
        <v/>
      </c>
      <c r="J28" s="5">
        <f>0</f>
        <v>0</v>
      </c>
      <c r="K28" s="4"/>
      <c r="L28" s="5">
        <f t="shared" si="28"/>
        <v>0</v>
      </c>
      <c r="M28" s="6" t="str">
        <f t="shared" si="29"/>
        <v/>
      </c>
      <c r="N28" s="5">
        <f>0</f>
        <v>0</v>
      </c>
      <c r="O28" s="4"/>
      <c r="P28" s="5">
        <f t="shared" si="30"/>
        <v>0</v>
      </c>
      <c r="Q28" s="6" t="str">
        <f t="shared" si="31"/>
        <v/>
      </c>
      <c r="R28" s="5">
        <f>0</f>
        <v>0</v>
      </c>
      <c r="S28" s="4"/>
      <c r="T28" s="5">
        <f t="shared" si="32"/>
        <v>0</v>
      </c>
      <c r="U28" s="6" t="str">
        <f t="shared" si="33"/>
        <v/>
      </c>
      <c r="V28" s="5">
        <f>0</f>
        <v>0</v>
      </c>
      <c r="W28" s="4"/>
      <c r="X28" s="5">
        <f t="shared" si="34"/>
        <v>0</v>
      </c>
      <c r="Y28" s="6" t="str">
        <f t="shared" si="35"/>
        <v/>
      </c>
      <c r="Z28" s="5">
        <f>0</f>
        <v>0</v>
      </c>
      <c r="AA28" s="4"/>
      <c r="AB28" s="5">
        <f t="shared" si="36"/>
        <v>0</v>
      </c>
      <c r="AC28" s="6" t="str">
        <f t="shared" si="37"/>
        <v/>
      </c>
      <c r="AD28" s="5">
        <f>0</f>
        <v>0</v>
      </c>
      <c r="AE28" s="4"/>
      <c r="AF28" s="5">
        <f t="shared" si="38"/>
        <v>0</v>
      </c>
      <c r="AG28" s="6" t="str">
        <f t="shared" si="39"/>
        <v/>
      </c>
      <c r="AH28" s="5">
        <f>0</f>
        <v>0</v>
      </c>
      <c r="AI28" s="4"/>
      <c r="AJ28" s="5">
        <f t="shared" si="40"/>
        <v>0</v>
      </c>
      <c r="AK28" s="6" t="str">
        <f t="shared" si="41"/>
        <v/>
      </c>
      <c r="AL28" s="5">
        <f>0</f>
        <v>0</v>
      </c>
      <c r="AM28" s="4"/>
      <c r="AN28" s="5">
        <f t="shared" si="42"/>
        <v>0</v>
      </c>
      <c r="AO28" s="4"/>
      <c r="AP28" s="4"/>
      <c r="AQ28" s="5">
        <f t="shared" si="43"/>
        <v>0</v>
      </c>
      <c r="AR28" s="4"/>
      <c r="AS28" s="4"/>
      <c r="AT28" s="5">
        <f t="shared" si="44"/>
        <v>0</v>
      </c>
      <c r="AU28" s="23">
        <f t="shared" si="45"/>
        <v>0</v>
      </c>
      <c r="AV28" s="14">
        <f t="shared" si="46"/>
        <v>0</v>
      </c>
      <c r="AW28" s="24">
        <f t="shared" si="47"/>
        <v>0</v>
      </c>
      <c r="AX28" s="14">
        <f t="shared" si="48"/>
        <v>0</v>
      </c>
      <c r="AY28" s="23"/>
      <c r="AZ28" s="14"/>
      <c r="BA28" s="13"/>
      <c r="BB28" s="24"/>
    </row>
    <row r="29" spans="1:54" x14ac:dyDescent="0.25">
      <c r="A29" s="3" t="s">
        <v>38</v>
      </c>
      <c r="B29" s="7">
        <f>(((B25)+(B26))+(B27))+(B28)</f>
        <v>166.22</v>
      </c>
      <c r="C29" s="7">
        <f>(((C25)+(C26))+(C27))+(C28)</f>
        <v>199.96999999999997</v>
      </c>
      <c r="D29" s="7">
        <f t="shared" si="24"/>
        <v>-33.749999999999972</v>
      </c>
      <c r="E29" s="8">
        <f t="shared" si="25"/>
        <v>0.83122468370255553</v>
      </c>
      <c r="F29" s="7">
        <f>(((F25)+(F26))+(F27))+(F28)</f>
        <v>173.24</v>
      </c>
      <c r="G29" s="7">
        <f>(((G25)+(G26))+(G27))+(G28)</f>
        <v>199.96999999999997</v>
      </c>
      <c r="H29" s="7">
        <f t="shared" si="26"/>
        <v>-26.729999999999961</v>
      </c>
      <c r="I29" s="8">
        <f t="shared" si="27"/>
        <v>0.86632994949242403</v>
      </c>
      <c r="J29" s="7">
        <f>(((J25)+(J26))+(J27))+(J28)</f>
        <v>259.86</v>
      </c>
      <c r="K29" s="7">
        <f>(((K25)+(K26))+(K27))+(K28)</f>
        <v>199.96999999999997</v>
      </c>
      <c r="L29" s="7">
        <f t="shared" si="28"/>
        <v>59.890000000000043</v>
      </c>
      <c r="M29" s="8">
        <f t="shared" si="29"/>
        <v>1.299494924238636</v>
      </c>
      <c r="N29" s="7">
        <f>(((N25)+(N26))+(N27))+(N28)</f>
        <v>173.24</v>
      </c>
      <c r="O29" s="7">
        <f>(((O25)+(O26))+(O27))+(O28)</f>
        <v>199.96999999999997</v>
      </c>
      <c r="P29" s="7">
        <f t="shared" si="30"/>
        <v>-26.729999999999961</v>
      </c>
      <c r="Q29" s="8">
        <f t="shared" si="31"/>
        <v>0.86632994949242403</v>
      </c>
      <c r="R29" s="7">
        <f>(((R25)+(R26))+(R27))+(R28)</f>
        <v>173.24</v>
      </c>
      <c r="S29" s="7">
        <f>(((S25)+(S26))+(S27))+(S28)</f>
        <v>199.96999999999997</v>
      </c>
      <c r="T29" s="7">
        <f t="shared" si="32"/>
        <v>-26.729999999999961</v>
      </c>
      <c r="U29" s="8">
        <f t="shared" si="33"/>
        <v>0.86632994949242403</v>
      </c>
      <c r="V29" s="7">
        <f>(((V25)+(V26))+(V27))+(V28)</f>
        <v>173.24</v>
      </c>
      <c r="W29" s="7">
        <f>(((W25)+(W26))+(W27))+(W28)</f>
        <v>199.96999999999997</v>
      </c>
      <c r="X29" s="7">
        <f t="shared" si="34"/>
        <v>-26.729999999999961</v>
      </c>
      <c r="Y29" s="8">
        <f t="shared" si="35"/>
        <v>0.86632994949242403</v>
      </c>
      <c r="Z29" s="7">
        <f>(((Z25)+(Z26))+(Z27))+(Z28)</f>
        <v>173.24</v>
      </c>
      <c r="AA29" s="7">
        <f>(((AA25)+(AA26))+(AA27))+(AA28)</f>
        <v>199.96999999999997</v>
      </c>
      <c r="AB29" s="7">
        <f t="shared" si="36"/>
        <v>-26.729999999999961</v>
      </c>
      <c r="AC29" s="8">
        <f t="shared" si="37"/>
        <v>0.86632994949242403</v>
      </c>
      <c r="AD29" s="7">
        <f>(((AD25)+(AD26))+(AD27))+(AD28)</f>
        <v>173.24</v>
      </c>
      <c r="AE29" s="7">
        <f>(((AE25)+(AE26))+(AE27))+(AE28)</f>
        <v>199.96999999999997</v>
      </c>
      <c r="AF29" s="7">
        <f t="shared" si="38"/>
        <v>-26.729999999999961</v>
      </c>
      <c r="AG29" s="8">
        <f t="shared" si="39"/>
        <v>0.86632994949242403</v>
      </c>
      <c r="AH29" s="7">
        <f>(((AH25)+(AH26))+(AH27))+(AH28)</f>
        <v>259.86</v>
      </c>
      <c r="AI29" s="7">
        <f>(((AI25)+(AI26))+(AI27))+(AI28)</f>
        <v>199.96999999999997</v>
      </c>
      <c r="AJ29" s="7">
        <f t="shared" si="40"/>
        <v>59.890000000000043</v>
      </c>
      <c r="AK29" s="8">
        <f t="shared" si="41"/>
        <v>1.299494924238636</v>
      </c>
      <c r="AL29" s="7">
        <f>(((AL25)+(AL26))+(AL27))+(AL28)</f>
        <v>173.24</v>
      </c>
      <c r="AM29" s="7">
        <f>(((AM25)+(AM26))+(AM27))+(AM28)</f>
        <v>199.96999999999997</v>
      </c>
      <c r="AN29" s="7">
        <f t="shared" si="42"/>
        <v>-26.729999999999961</v>
      </c>
      <c r="AO29" s="7">
        <f>(((AO25)+(AO26))+(AO27))+(AO28)</f>
        <v>0</v>
      </c>
      <c r="AP29" s="7">
        <f>(((AP25)+(AP26))+(AP27))+(AP28)</f>
        <v>199.96999999999997</v>
      </c>
      <c r="AQ29" s="7">
        <f t="shared" si="43"/>
        <v>-199.96999999999997</v>
      </c>
      <c r="AR29" s="7">
        <f>(((AR25)+(AR26))+(AR27))+(AR28)</f>
        <v>0</v>
      </c>
      <c r="AS29" s="7">
        <f>(((AS25)+(AS26))+(AS27))+(AS28)</f>
        <v>200.52999999999997</v>
      </c>
      <c r="AT29" s="7">
        <f t="shared" si="44"/>
        <v>-200.52999999999997</v>
      </c>
      <c r="AU29" s="25">
        <f t="shared" si="45"/>
        <v>1898.6200000000001</v>
      </c>
      <c r="AV29" s="16">
        <f t="shared" si="46"/>
        <v>2278.3440000000001</v>
      </c>
      <c r="AW29" s="26">
        <f t="shared" si="47"/>
        <v>2400.1999999999998</v>
      </c>
      <c r="AX29" s="16">
        <f t="shared" si="48"/>
        <v>-501.5799999999997</v>
      </c>
      <c r="AY29" s="25">
        <f>BB29</f>
        <v>2431.1312480000001</v>
      </c>
      <c r="AZ29" s="18">
        <f>AY29-AW29</f>
        <v>30.931248000000323</v>
      </c>
      <c r="BA29" s="13"/>
      <c r="BB29" s="26">
        <f>SUM(BB26:BB28)</f>
        <v>2431.1312480000001</v>
      </c>
    </row>
    <row r="30" spans="1:54" x14ac:dyDescent="0.25">
      <c r="A30" s="3" t="s">
        <v>39</v>
      </c>
      <c r="B30" s="4"/>
      <c r="C30" s="4"/>
      <c r="D30" s="5">
        <f t="shared" si="24"/>
        <v>0</v>
      </c>
      <c r="E30" s="6" t="str">
        <f t="shared" si="25"/>
        <v/>
      </c>
      <c r="F30" s="4"/>
      <c r="G30" s="4"/>
      <c r="H30" s="5">
        <f t="shared" si="26"/>
        <v>0</v>
      </c>
      <c r="I30" s="6" t="str">
        <f t="shared" si="27"/>
        <v/>
      </c>
      <c r="J30" s="4"/>
      <c r="K30" s="4"/>
      <c r="L30" s="5">
        <f t="shared" si="28"/>
        <v>0</v>
      </c>
      <c r="M30" s="6" t="str">
        <f t="shared" si="29"/>
        <v/>
      </c>
      <c r="N30" s="4"/>
      <c r="O30" s="4"/>
      <c r="P30" s="5">
        <f t="shared" si="30"/>
        <v>0</v>
      </c>
      <c r="Q30" s="6" t="str">
        <f t="shared" si="31"/>
        <v/>
      </c>
      <c r="R30" s="4"/>
      <c r="S30" s="4"/>
      <c r="T30" s="5">
        <f t="shared" si="32"/>
        <v>0</v>
      </c>
      <c r="U30" s="6" t="str">
        <f t="shared" si="33"/>
        <v/>
      </c>
      <c r="V30" s="4"/>
      <c r="W30" s="4"/>
      <c r="X30" s="5">
        <f t="shared" si="34"/>
        <v>0</v>
      </c>
      <c r="Y30" s="6" t="str">
        <f t="shared" si="35"/>
        <v/>
      </c>
      <c r="Z30" s="4"/>
      <c r="AA30" s="4"/>
      <c r="AB30" s="5">
        <f t="shared" si="36"/>
        <v>0</v>
      </c>
      <c r="AC30" s="6" t="str">
        <f t="shared" si="37"/>
        <v/>
      </c>
      <c r="AD30" s="4"/>
      <c r="AE30" s="4"/>
      <c r="AF30" s="5">
        <f t="shared" si="38"/>
        <v>0</v>
      </c>
      <c r="AG30" s="6" t="str">
        <f t="shared" si="39"/>
        <v/>
      </c>
      <c r="AH30" s="4"/>
      <c r="AI30" s="4"/>
      <c r="AJ30" s="5">
        <f t="shared" si="40"/>
        <v>0</v>
      </c>
      <c r="AK30" s="6" t="str">
        <f t="shared" si="41"/>
        <v/>
      </c>
      <c r="AL30" s="4"/>
      <c r="AM30" s="4"/>
      <c r="AN30" s="5">
        <f t="shared" si="42"/>
        <v>0</v>
      </c>
      <c r="AO30" s="4"/>
      <c r="AP30" s="4"/>
      <c r="AQ30" s="5">
        <f t="shared" si="43"/>
        <v>0</v>
      </c>
      <c r="AR30" s="4"/>
      <c r="AS30" s="4"/>
      <c r="AT30" s="5">
        <f t="shared" si="44"/>
        <v>0</v>
      </c>
      <c r="AU30" s="23">
        <f t="shared" si="45"/>
        <v>0</v>
      </c>
      <c r="AV30" s="14">
        <f t="shared" si="46"/>
        <v>0</v>
      </c>
      <c r="AW30" s="24">
        <f t="shared" si="47"/>
        <v>0</v>
      </c>
      <c r="AX30" s="14">
        <f t="shared" si="48"/>
        <v>0</v>
      </c>
      <c r="AY30" s="23"/>
      <c r="AZ30" s="14"/>
      <c r="BA30" s="13"/>
      <c r="BB30" s="24"/>
    </row>
    <row r="31" spans="1:54" x14ac:dyDescent="0.25">
      <c r="A31" s="3" t="s">
        <v>40</v>
      </c>
      <c r="B31" s="4"/>
      <c r="C31" s="5">
        <f>73.29</f>
        <v>73.290000000000006</v>
      </c>
      <c r="D31" s="5">
        <f t="shared" si="24"/>
        <v>-73.290000000000006</v>
      </c>
      <c r="E31" s="6">
        <f t="shared" si="25"/>
        <v>0</v>
      </c>
      <c r="F31" s="4"/>
      <c r="G31" s="5">
        <f>73.29</f>
        <v>73.290000000000006</v>
      </c>
      <c r="H31" s="5">
        <f t="shared" si="26"/>
        <v>-73.290000000000006</v>
      </c>
      <c r="I31" s="6">
        <f t="shared" si="27"/>
        <v>0</v>
      </c>
      <c r="J31" s="4"/>
      <c r="K31" s="5">
        <f>73.29</f>
        <v>73.290000000000006</v>
      </c>
      <c r="L31" s="5">
        <f t="shared" si="28"/>
        <v>-73.290000000000006</v>
      </c>
      <c r="M31" s="6">
        <f t="shared" si="29"/>
        <v>0</v>
      </c>
      <c r="N31" s="5">
        <f>870.87</f>
        <v>870.87</v>
      </c>
      <c r="O31" s="5">
        <f>73.29</f>
        <v>73.290000000000006</v>
      </c>
      <c r="P31" s="5">
        <f t="shared" si="30"/>
        <v>797.58</v>
      </c>
      <c r="Q31" s="6">
        <f t="shared" si="31"/>
        <v>11.882521489971346</v>
      </c>
      <c r="R31" s="5">
        <f>450.57</f>
        <v>450.57</v>
      </c>
      <c r="S31" s="5">
        <f>73.29</f>
        <v>73.290000000000006</v>
      </c>
      <c r="T31" s="5">
        <f t="shared" si="32"/>
        <v>377.28</v>
      </c>
      <c r="U31" s="6">
        <f t="shared" si="33"/>
        <v>6.1477691363078177</v>
      </c>
      <c r="V31" s="5">
        <f>0</f>
        <v>0</v>
      </c>
      <c r="W31" s="5">
        <f>73.29</f>
        <v>73.290000000000006</v>
      </c>
      <c r="X31" s="5">
        <f t="shared" si="34"/>
        <v>-73.290000000000006</v>
      </c>
      <c r="Y31" s="6">
        <f t="shared" si="35"/>
        <v>0</v>
      </c>
      <c r="Z31" s="5">
        <f>0</f>
        <v>0</v>
      </c>
      <c r="AA31" s="5">
        <f>73.29</f>
        <v>73.290000000000006</v>
      </c>
      <c r="AB31" s="5">
        <f t="shared" si="36"/>
        <v>-73.290000000000006</v>
      </c>
      <c r="AC31" s="6">
        <f t="shared" si="37"/>
        <v>0</v>
      </c>
      <c r="AD31" s="5">
        <f>0</f>
        <v>0</v>
      </c>
      <c r="AE31" s="5">
        <f>73.29</f>
        <v>73.290000000000006</v>
      </c>
      <c r="AF31" s="5">
        <f t="shared" si="38"/>
        <v>-73.290000000000006</v>
      </c>
      <c r="AG31" s="6">
        <f t="shared" si="39"/>
        <v>0</v>
      </c>
      <c r="AH31" s="5">
        <f>0</f>
        <v>0</v>
      </c>
      <c r="AI31" s="5">
        <f>73.29</f>
        <v>73.290000000000006</v>
      </c>
      <c r="AJ31" s="5">
        <f t="shared" si="40"/>
        <v>-73.290000000000006</v>
      </c>
      <c r="AK31" s="6">
        <f t="shared" si="41"/>
        <v>0</v>
      </c>
      <c r="AL31" s="5">
        <f>0</f>
        <v>0</v>
      </c>
      <c r="AM31" s="5">
        <f>73.29</f>
        <v>73.290000000000006</v>
      </c>
      <c r="AN31" s="5">
        <f t="shared" si="42"/>
        <v>-73.290000000000006</v>
      </c>
      <c r="AO31" s="4"/>
      <c r="AP31" s="5">
        <f>73.29</f>
        <v>73.290000000000006</v>
      </c>
      <c r="AQ31" s="5">
        <f t="shared" si="43"/>
        <v>-73.290000000000006</v>
      </c>
      <c r="AR31" s="4"/>
      <c r="AS31" s="5">
        <f>73.26</f>
        <v>73.260000000000005</v>
      </c>
      <c r="AT31" s="5">
        <f t="shared" si="44"/>
        <v>-73.260000000000005</v>
      </c>
      <c r="AU31" s="23">
        <f t="shared" si="45"/>
        <v>1321.44</v>
      </c>
      <c r="AV31" s="14">
        <f t="shared" si="46"/>
        <v>1585.7280000000001</v>
      </c>
      <c r="AW31" s="24">
        <f t="shared" si="47"/>
        <v>879.44999999999993</v>
      </c>
      <c r="AX31" s="14">
        <f t="shared" si="48"/>
        <v>441.99000000000012</v>
      </c>
      <c r="AY31" s="23"/>
      <c r="AZ31" s="14"/>
      <c r="BA31" s="13" t="s">
        <v>170</v>
      </c>
      <c r="BB31" s="24">
        <v>2100</v>
      </c>
    </row>
    <row r="32" spans="1:54" x14ac:dyDescent="0.25">
      <c r="A32" s="3" t="s">
        <v>41</v>
      </c>
      <c r="B32" s="4"/>
      <c r="C32" s="5">
        <f>39.46</f>
        <v>39.46</v>
      </c>
      <c r="D32" s="5">
        <f t="shared" si="24"/>
        <v>-39.46</v>
      </c>
      <c r="E32" s="6">
        <f t="shared" si="25"/>
        <v>0</v>
      </c>
      <c r="F32" s="4"/>
      <c r="G32" s="5">
        <f>39.46</f>
        <v>39.46</v>
      </c>
      <c r="H32" s="5">
        <f t="shared" si="26"/>
        <v>-39.46</v>
      </c>
      <c r="I32" s="6">
        <f t="shared" si="27"/>
        <v>0</v>
      </c>
      <c r="J32" s="4"/>
      <c r="K32" s="5">
        <f>39.46</f>
        <v>39.46</v>
      </c>
      <c r="L32" s="5">
        <f t="shared" si="28"/>
        <v>-39.46</v>
      </c>
      <c r="M32" s="6">
        <f t="shared" si="29"/>
        <v>0</v>
      </c>
      <c r="N32" s="5">
        <f>468.93</f>
        <v>468.93</v>
      </c>
      <c r="O32" s="5">
        <f>39.46</f>
        <v>39.46</v>
      </c>
      <c r="P32" s="5">
        <f t="shared" si="30"/>
        <v>429.47</v>
      </c>
      <c r="Q32" s="6">
        <f t="shared" si="31"/>
        <v>11.883679675620883</v>
      </c>
      <c r="R32" s="5">
        <f>242.62</f>
        <v>242.62</v>
      </c>
      <c r="S32" s="5">
        <f>39.46</f>
        <v>39.46</v>
      </c>
      <c r="T32" s="5">
        <f t="shared" si="32"/>
        <v>203.16</v>
      </c>
      <c r="U32" s="6">
        <f t="shared" si="33"/>
        <v>6.1485048150025339</v>
      </c>
      <c r="V32" s="5">
        <f>0</f>
        <v>0</v>
      </c>
      <c r="W32" s="5">
        <f>39.46</f>
        <v>39.46</v>
      </c>
      <c r="X32" s="5">
        <f t="shared" si="34"/>
        <v>-39.46</v>
      </c>
      <c r="Y32" s="6">
        <f t="shared" si="35"/>
        <v>0</v>
      </c>
      <c r="Z32" s="5">
        <f>0</f>
        <v>0</v>
      </c>
      <c r="AA32" s="5">
        <f>39.46</f>
        <v>39.46</v>
      </c>
      <c r="AB32" s="5">
        <f t="shared" si="36"/>
        <v>-39.46</v>
      </c>
      <c r="AC32" s="6">
        <f t="shared" si="37"/>
        <v>0</v>
      </c>
      <c r="AD32" s="5">
        <f>0</f>
        <v>0</v>
      </c>
      <c r="AE32" s="5">
        <f>39.46</f>
        <v>39.46</v>
      </c>
      <c r="AF32" s="5">
        <f t="shared" si="38"/>
        <v>-39.46</v>
      </c>
      <c r="AG32" s="6">
        <f t="shared" si="39"/>
        <v>0</v>
      </c>
      <c r="AH32" s="5">
        <f>0</f>
        <v>0</v>
      </c>
      <c r="AI32" s="5">
        <f>39.46</f>
        <v>39.46</v>
      </c>
      <c r="AJ32" s="5">
        <f t="shared" si="40"/>
        <v>-39.46</v>
      </c>
      <c r="AK32" s="6">
        <f t="shared" si="41"/>
        <v>0</v>
      </c>
      <c r="AL32" s="5">
        <f>0</f>
        <v>0</v>
      </c>
      <c r="AM32" s="5">
        <f>39.46</f>
        <v>39.46</v>
      </c>
      <c r="AN32" s="5">
        <f t="shared" si="42"/>
        <v>-39.46</v>
      </c>
      <c r="AO32" s="4"/>
      <c r="AP32" s="5">
        <f>39.46</f>
        <v>39.46</v>
      </c>
      <c r="AQ32" s="5">
        <f t="shared" si="43"/>
        <v>-39.46</v>
      </c>
      <c r="AR32" s="4"/>
      <c r="AS32" s="5">
        <f>39.49</f>
        <v>39.49</v>
      </c>
      <c r="AT32" s="5">
        <f t="shared" si="44"/>
        <v>-39.49</v>
      </c>
      <c r="AU32" s="23">
        <f t="shared" si="45"/>
        <v>711.55</v>
      </c>
      <c r="AV32" s="14">
        <f t="shared" si="46"/>
        <v>853.86</v>
      </c>
      <c r="AW32" s="24">
        <f t="shared" si="47"/>
        <v>473.54999999999995</v>
      </c>
      <c r="AX32" s="14">
        <f t="shared" si="48"/>
        <v>238</v>
      </c>
      <c r="AY32" s="23"/>
      <c r="AZ32" s="14"/>
      <c r="BA32" s="13"/>
      <c r="BB32" s="24"/>
    </row>
    <row r="33" spans="1:54" x14ac:dyDescent="0.25">
      <c r="A33" s="3" t="s">
        <v>42</v>
      </c>
      <c r="B33" s="5">
        <f>0</f>
        <v>0</v>
      </c>
      <c r="C33" s="4"/>
      <c r="D33" s="5">
        <f t="shared" si="24"/>
        <v>0</v>
      </c>
      <c r="E33" s="6" t="str">
        <f t="shared" si="25"/>
        <v/>
      </c>
      <c r="F33" s="5">
        <f>0</f>
        <v>0</v>
      </c>
      <c r="G33" s="4"/>
      <c r="H33" s="5">
        <f t="shared" si="26"/>
        <v>0</v>
      </c>
      <c r="I33" s="6" t="str">
        <f t="shared" si="27"/>
        <v/>
      </c>
      <c r="J33" s="5">
        <f>0</f>
        <v>0</v>
      </c>
      <c r="K33" s="4"/>
      <c r="L33" s="5">
        <f t="shared" si="28"/>
        <v>0</v>
      </c>
      <c r="M33" s="6" t="str">
        <f t="shared" si="29"/>
        <v/>
      </c>
      <c r="N33" s="5">
        <f>0</f>
        <v>0</v>
      </c>
      <c r="O33" s="4"/>
      <c r="P33" s="5">
        <f t="shared" si="30"/>
        <v>0</v>
      </c>
      <c r="Q33" s="6" t="str">
        <f t="shared" si="31"/>
        <v/>
      </c>
      <c r="R33" s="5">
        <f>0</f>
        <v>0</v>
      </c>
      <c r="S33" s="4"/>
      <c r="T33" s="5">
        <f t="shared" si="32"/>
        <v>0</v>
      </c>
      <c r="U33" s="6" t="str">
        <f t="shared" si="33"/>
        <v/>
      </c>
      <c r="V33" s="5">
        <f>0</f>
        <v>0</v>
      </c>
      <c r="W33" s="4"/>
      <c r="X33" s="5">
        <f t="shared" si="34"/>
        <v>0</v>
      </c>
      <c r="Y33" s="6" t="str">
        <f t="shared" si="35"/>
        <v/>
      </c>
      <c r="Z33" s="5">
        <f>0</f>
        <v>0</v>
      </c>
      <c r="AA33" s="4"/>
      <c r="AB33" s="5">
        <f t="shared" si="36"/>
        <v>0</v>
      </c>
      <c r="AC33" s="6" t="str">
        <f t="shared" si="37"/>
        <v/>
      </c>
      <c r="AD33" s="5">
        <f>0</f>
        <v>0</v>
      </c>
      <c r="AE33" s="4"/>
      <c r="AF33" s="5">
        <f t="shared" si="38"/>
        <v>0</v>
      </c>
      <c r="AG33" s="6" t="str">
        <f t="shared" si="39"/>
        <v/>
      </c>
      <c r="AH33" s="5">
        <f>0</f>
        <v>0</v>
      </c>
      <c r="AI33" s="4"/>
      <c r="AJ33" s="5">
        <f t="shared" si="40"/>
        <v>0</v>
      </c>
      <c r="AK33" s="6" t="str">
        <f t="shared" si="41"/>
        <v/>
      </c>
      <c r="AL33" s="5">
        <f>0</f>
        <v>0</v>
      </c>
      <c r="AM33" s="4"/>
      <c r="AN33" s="5">
        <f t="shared" si="42"/>
        <v>0</v>
      </c>
      <c r="AO33" s="4"/>
      <c r="AP33" s="4"/>
      <c r="AQ33" s="5">
        <f t="shared" si="43"/>
        <v>0</v>
      </c>
      <c r="AR33" s="4"/>
      <c r="AS33" s="4"/>
      <c r="AT33" s="5">
        <f t="shared" si="44"/>
        <v>0</v>
      </c>
      <c r="AU33" s="23">
        <f t="shared" si="45"/>
        <v>0</v>
      </c>
      <c r="AV33" s="14">
        <f t="shared" si="46"/>
        <v>0</v>
      </c>
      <c r="AW33" s="24">
        <f t="shared" si="47"/>
        <v>0</v>
      </c>
      <c r="AX33" s="14">
        <f t="shared" si="48"/>
        <v>0</v>
      </c>
      <c r="AY33" s="23"/>
      <c r="AZ33" s="14"/>
      <c r="BA33" s="13"/>
      <c r="BB33" s="24"/>
    </row>
    <row r="34" spans="1:54" x14ac:dyDescent="0.25">
      <c r="A34" s="3" t="s">
        <v>43</v>
      </c>
      <c r="B34" s="7">
        <f>(((B30)+(B31))+(B32))+(B33)</f>
        <v>0</v>
      </c>
      <c r="C34" s="7">
        <f>(((C30)+(C31))+(C32))+(C33)</f>
        <v>112.75</v>
      </c>
      <c r="D34" s="7">
        <f t="shared" si="24"/>
        <v>-112.75</v>
      </c>
      <c r="E34" s="8">
        <f t="shared" si="25"/>
        <v>0</v>
      </c>
      <c r="F34" s="7">
        <f>(((F30)+(F31))+(F32))+(F33)</f>
        <v>0</v>
      </c>
      <c r="G34" s="7">
        <f>(((G30)+(G31))+(G32))+(G33)</f>
        <v>112.75</v>
      </c>
      <c r="H34" s="7">
        <f t="shared" si="26"/>
        <v>-112.75</v>
      </c>
      <c r="I34" s="8">
        <f t="shared" si="27"/>
        <v>0</v>
      </c>
      <c r="J34" s="7">
        <f>(((J30)+(J31))+(J32))+(J33)</f>
        <v>0</v>
      </c>
      <c r="K34" s="7">
        <f>(((K30)+(K31))+(K32))+(K33)</f>
        <v>112.75</v>
      </c>
      <c r="L34" s="7">
        <f t="shared" si="28"/>
        <v>-112.75</v>
      </c>
      <c r="M34" s="8">
        <f t="shared" si="29"/>
        <v>0</v>
      </c>
      <c r="N34" s="7">
        <f>(((N30)+(N31))+(N32))+(N33)</f>
        <v>1339.8</v>
      </c>
      <c r="O34" s="7">
        <f>(((O30)+(O31))+(O32))+(O33)</f>
        <v>112.75</v>
      </c>
      <c r="P34" s="7">
        <f t="shared" si="30"/>
        <v>1227.05</v>
      </c>
      <c r="Q34" s="8">
        <f t="shared" si="31"/>
        <v>11.882926829268293</v>
      </c>
      <c r="R34" s="7">
        <f>(((R30)+(R31))+(R32))+(R33)</f>
        <v>693.19</v>
      </c>
      <c r="S34" s="7">
        <f>(((S30)+(S31))+(S32))+(S33)</f>
        <v>112.75</v>
      </c>
      <c r="T34" s="7">
        <f t="shared" si="32"/>
        <v>580.44000000000005</v>
      </c>
      <c r="U34" s="8">
        <f t="shared" si="33"/>
        <v>6.148026607538803</v>
      </c>
      <c r="V34" s="7">
        <f>(((V30)+(V31))+(V32))+(V33)</f>
        <v>0</v>
      </c>
      <c r="W34" s="7">
        <f>(((W30)+(W31))+(W32))+(W33)</f>
        <v>112.75</v>
      </c>
      <c r="X34" s="7">
        <f t="shared" si="34"/>
        <v>-112.75</v>
      </c>
      <c r="Y34" s="8">
        <f t="shared" si="35"/>
        <v>0</v>
      </c>
      <c r="Z34" s="7">
        <f>(((Z30)+(Z31))+(Z32))+(Z33)</f>
        <v>0</v>
      </c>
      <c r="AA34" s="7">
        <f>(((AA30)+(AA31))+(AA32))+(AA33)</f>
        <v>112.75</v>
      </c>
      <c r="AB34" s="7">
        <f t="shared" si="36"/>
        <v>-112.75</v>
      </c>
      <c r="AC34" s="8">
        <f t="shared" si="37"/>
        <v>0</v>
      </c>
      <c r="AD34" s="7">
        <f>(((AD30)+(AD31))+(AD32))+(AD33)</f>
        <v>0</v>
      </c>
      <c r="AE34" s="7">
        <f>(((AE30)+(AE31))+(AE32))+(AE33)</f>
        <v>112.75</v>
      </c>
      <c r="AF34" s="7">
        <f t="shared" si="38"/>
        <v>-112.75</v>
      </c>
      <c r="AG34" s="8">
        <f t="shared" si="39"/>
        <v>0</v>
      </c>
      <c r="AH34" s="7">
        <f>(((AH30)+(AH31))+(AH32))+(AH33)</f>
        <v>0</v>
      </c>
      <c r="AI34" s="7">
        <f>(((AI30)+(AI31))+(AI32))+(AI33)</f>
        <v>112.75</v>
      </c>
      <c r="AJ34" s="7">
        <f t="shared" si="40"/>
        <v>-112.75</v>
      </c>
      <c r="AK34" s="8">
        <f t="shared" si="41"/>
        <v>0</v>
      </c>
      <c r="AL34" s="7">
        <f>(((AL30)+(AL31))+(AL32))+(AL33)</f>
        <v>0</v>
      </c>
      <c r="AM34" s="7">
        <f>(((AM30)+(AM31))+(AM32))+(AM33)</f>
        <v>112.75</v>
      </c>
      <c r="AN34" s="7">
        <f t="shared" si="42"/>
        <v>-112.75</v>
      </c>
      <c r="AO34" s="7">
        <f>(((AO30)+(AO31))+(AO32))+(AO33)</f>
        <v>0</v>
      </c>
      <c r="AP34" s="7">
        <f>(((AP30)+(AP31))+(AP32))+(AP33)</f>
        <v>112.75</v>
      </c>
      <c r="AQ34" s="7">
        <f t="shared" si="43"/>
        <v>-112.75</v>
      </c>
      <c r="AR34" s="7">
        <f>(((AR30)+(AR31))+(AR32))+(AR33)</f>
        <v>0</v>
      </c>
      <c r="AS34" s="7">
        <f>(((AS30)+(AS31))+(AS32))+(AS33)</f>
        <v>112.75</v>
      </c>
      <c r="AT34" s="7">
        <f t="shared" si="44"/>
        <v>-112.75</v>
      </c>
      <c r="AU34" s="25">
        <f t="shared" si="45"/>
        <v>2032.99</v>
      </c>
      <c r="AV34" s="16">
        <f t="shared" si="46"/>
        <v>2439.5880000000002</v>
      </c>
      <c r="AW34" s="26">
        <f t="shared" si="47"/>
        <v>1353</v>
      </c>
      <c r="AX34" s="16">
        <f t="shared" si="48"/>
        <v>679.99</v>
      </c>
      <c r="AY34" s="25">
        <f>BB34</f>
        <v>2100</v>
      </c>
      <c r="AZ34" s="18">
        <f>AY34-AW34</f>
        <v>747</v>
      </c>
      <c r="BA34" s="13"/>
      <c r="BB34" s="26">
        <f>SUM(BB31:BB33)</f>
        <v>2100</v>
      </c>
    </row>
    <row r="35" spans="1:54" x14ac:dyDescent="0.25">
      <c r="A35" s="3" t="s">
        <v>44</v>
      </c>
      <c r="B35" s="4"/>
      <c r="C35" s="4"/>
      <c r="D35" s="5">
        <f t="shared" si="24"/>
        <v>0</v>
      </c>
      <c r="E35" s="6" t="str">
        <f t="shared" si="25"/>
        <v/>
      </c>
      <c r="F35" s="4"/>
      <c r="G35" s="4"/>
      <c r="H35" s="5">
        <f t="shared" si="26"/>
        <v>0</v>
      </c>
      <c r="I35" s="6" t="str">
        <f t="shared" si="27"/>
        <v/>
      </c>
      <c r="J35" s="4"/>
      <c r="K35" s="4"/>
      <c r="L35" s="5">
        <f t="shared" si="28"/>
        <v>0</v>
      </c>
      <c r="M35" s="6" t="str">
        <f t="shared" si="29"/>
        <v/>
      </c>
      <c r="N35" s="4"/>
      <c r="O35" s="4"/>
      <c r="P35" s="5">
        <f t="shared" si="30"/>
        <v>0</v>
      </c>
      <c r="Q35" s="6" t="str">
        <f t="shared" si="31"/>
        <v/>
      </c>
      <c r="R35" s="4"/>
      <c r="S35" s="4"/>
      <c r="T35" s="5">
        <f t="shared" si="32"/>
        <v>0</v>
      </c>
      <c r="U35" s="6" t="str">
        <f t="shared" si="33"/>
        <v/>
      </c>
      <c r="V35" s="4"/>
      <c r="W35" s="4"/>
      <c r="X35" s="5">
        <f t="shared" si="34"/>
        <v>0</v>
      </c>
      <c r="Y35" s="6" t="str">
        <f t="shared" si="35"/>
        <v/>
      </c>
      <c r="Z35" s="4"/>
      <c r="AA35" s="4"/>
      <c r="AB35" s="5">
        <f t="shared" si="36"/>
        <v>0</v>
      </c>
      <c r="AC35" s="6" t="str">
        <f t="shared" si="37"/>
        <v/>
      </c>
      <c r="AD35" s="4"/>
      <c r="AE35" s="4"/>
      <c r="AF35" s="5">
        <f t="shared" si="38"/>
        <v>0</v>
      </c>
      <c r="AG35" s="6" t="str">
        <f t="shared" si="39"/>
        <v/>
      </c>
      <c r="AH35" s="4"/>
      <c r="AI35" s="4"/>
      <c r="AJ35" s="5">
        <f t="shared" si="40"/>
        <v>0</v>
      </c>
      <c r="AK35" s="6" t="str">
        <f t="shared" si="41"/>
        <v/>
      </c>
      <c r="AL35" s="4"/>
      <c r="AM35" s="4"/>
      <c r="AN35" s="5">
        <f t="shared" si="42"/>
        <v>0</v>
      </c>
      <c r="AO35" s="4"/>
      <c r="AP35" s="4"/>
      <c r="AQ35" s="5">
        <f t="shared" si="43"/>
        <v>0</v>
      </c>
      <c r="AR35" s="4"/>
      <c r="AS35" s="4"/>
      <c r="AT35" s="5">
        <f t="shared" si="44"/>
        <v>0</v>
      </c>
      <c r="AU35" s="23">
        <f t="shared" si="45"/>
        <v>0</v>
      </c>
      <c r="AV35" s="14">
        <f t="shared" si="46"/>
        <v>0</v>
      </c>
      <c r="AW35" s="24">
        <f t="shared" si="47"/>
        <v>0</v>
      </c>
      <c r="AX35" s="14">
        <f t="shared" si="48"/>
        <v>0</v>
      </c>
      <c r="AY35" s="23"/>
      <c r="AZ35" s="14"/>
      <c r="BA35" s="13"/>
      <c r="BB35" s="24"/>
    </row>
    <row r="36" spans="1:54" x14ac:dyDescent="0.25">
      <c r="A36" s="3" t="s">
        <v>45</v>
      </c>
      <c r="B36" s="5">
        <f>45.16</f>
        <v>45.16</v>
      </c>
      <c r="C36" s="5">
        <f>56.55</f>
        <v>56.55</v>
      </c>
      <c r="D36" s="5">
        <f t="shared" si="24"/>
        <v>-11.39</v>
      </c>
      <c r="E36" s="6">
        <f t="shared" si="25"/>
        <v>0.79858532272325378</v>
      </c>
      <c r="F36" s="5">
        <f>45.16</f>
        <v>45.16</v>
      </c>
      <c r="G36" s="5">
        <f>56.55</f>
        <v>56.55</v>
      </c>
      <c r="H36" s="5">
        <f t="shared" si="26"/>
        <v>-11.39</v>
      </c>
      <c r="I36" s="6">
        <f t="shared" si="27"/>
        <v>0.79858532272325378</v>
      </c>
      <c r="J36" s="5">
        <f>31.69</f>
        <v>31.69</v>
      </c>
      <c r="K36" s="5">
        <f>56.55</f>
        <v>56.55</v>
      </c>
      <c r="L36" s="5">
        <f t="shared" si="28"/>
        <v>-24.859999999999996</v>
      </c>
      <c r="M36" s="6">
        <f t="shared" si="29"/>
        <v>0.56038903625110525</v>
      </c>
      <c r="N36" s="5">
        <f>44.73</f>
        <v>44.73</v>
      </c>
      <c r="O36" s="5">
        <f>56.55</f>
        <v>56.55</v>
      </c>
      <c r="P36" s="5">
        <f t="shared" si="30"/>
        <v>-11.82</v>
      </c>
      <c r="Q36" s="6">
        <f t="shared" si="31"/>
        <v>0.7909814323607427</v>
      </c>
      <c r="R36" s="5">
        <f>44.73</f>
        <v>44.73</v>
      </c>
      <c r="S36" s="5">
        <f>56.55</f>
        <v>56.55</v>
      </c>
      <c r="T36" s="5">
        <f t="shared" si="32"/>
        <v>-11.82</v>
      </c>
      <c r="U36" s="6">
        <f t="shared" si="33"/>
        <v>0.7909814323607427</v>
      </c>
      <c r="V36" s="5">
        <f>44.73</f>
        <v>44.73</v>
      </c>
      <c r="W36" s="5">
        <f>56.55</f>
        <v>56.55</v>
      </c>
      <c r="X36" s="5">
        <f t="shared" si="34"/>
        <v>-11.82</v>
      </c>
      <c r="Y36" s="6">
        <f t="shared" si="35"/>
        <v>0.7909814323607427</v>
      </c>
      <c r="Z36" s="5">
        <f>44.73</f>
        <v>44.73</v>
      </c>
      <c r="AA36" s="5">
        <f>56.55</f>
        <v>56.55</v>
      </c>
      <c r="AB36" s="5">
        <f t="shared" si="36"/>
        <v>-11.82</v>
      </c>
      <c r="AC36" s="6">
        <f t="shared" si="37"/>
        <v>0.7909814323607427</v>
      </c>
      <c r="AD36" s="5">
        <f>44.73</f>
        <v>44.73</v>
      </c>
      <c r="AE36" s="5">
        <f>56.55</f>
        <v>56.55</v>
      </c>
      <c r="AF36" s="5">
        <f t="shared" si="38"/>
        <v>-11.82</v>
      </c>
      <c r="AG36" s="6">
        <f t="shared" si="39"/>
        <v>0.7909814323607427</v>
      </c>
      <c r="AH36" s="5">
        <f>31.26</f>
        <v>31.26</v>
      </c>
      <c r="AI36" s="5">
        <f>56.55</f>
        <v>56.55</v>
      </c>
      <c r="AJ36" s="5">
        <f t="shared" si="40"/>
        <v>-25.289999999999996</v>
      </c>
      <c r="AK36" s="6">
        <f t="shared" si="41"/>
        <v>0.55278514588859418</v>
      </c>
      <c r="AL36" s="5">
        <f>44.73</f>
        <v>44.73</v>
      </c>
      <c r="AM36" s="5">
        <f>56.55</f>
        <v>56.55</v>
      </c>
      <c r="AN36" s="5">
        <f t="shared" si="42"/>
        <v>-11.82</v>
      </c>
      <c r="AO36" s="4"/>
      <c r="AP36" s="5">
        <f>56.55</f>
        <v>56.55</v>
      </c>
      <c r="AQ36" s="5">
        <f t="shared" si="43"/>
        <v>-56.55</v>
      </c>
      <c r="AR36" s="4"/>
      <c r="AS36" s="5">
        <f>56.55</f>
        <v>56.55</v>
      </c>
      <c r="AT36" s="5">
        <f t="shared" si="44"/>
        <v>-56.55</v>
      </c>
      <c r="AU36" s="23">
        <f t="shared" si="45"/>
        <v>421.65000000000003</v>
      </c>
      <c r="AV36" s="14">
        <f t="shared" si="46"/>
        <v>505.98000000000008</v>
      </c>
      <c r="AW36" s="24">
        <f t="shared" si="47"/>
        <v>678.59999999999991</v>
      </c>
      <c r="AX36" s="14">
        <f t="shared" si="48"/>
        <v>-256.94999999999987</v>
      </c>
      <c r="AY36" s="23"/>
      <c r="AZ36" s="14"/>
      <c r="BA36" s="13" t="s">
        <v>142</v>
      </c>
      <c r="BB36" s="24">
        <f>(110.25*1.04)*12</f>
        <v>1375.92</v>
      </c>
    </row>
    <row r="37" spans="1:54" x14ac:dyDescent="0.25">
      <c r="A37" s="3" t="s">
        <v>46</v>
      </c>
      <c r="B37" s="5">
        <f>24.31</f>
        <v>24.31</v>
      </c>
      <c r="C37" s="5">
        <f>30.45</f>
        <v>30.45</v>
      </c>
      <c r="D37" s="5">
        <f t="shared" si="24"/>
        <v>-6.1400000000000006</v>
      </c>
      <c r="E37" s="6">
        <f t="shared" si="25"/>
        <v>0.79835796387520519</v>
      </c>
      <c r="F37" s="5">
        <f>24.31</f>
        <v>24.31</v>
      </c>
      <c r="G37" s="5">
        <f>30.45</f>
        <v>30.45</v>
      </c>
      <c r="H37" s="5">
        <f t="shared" si="26"/>
        <v>-6.1400000000000006</v>
      </c>
      <c r="I37" s="6">
        <f t="shared" si="27"/>
        <v>0.79835796387520519</v>
      </c>
      <c r="J37" s="5">
        <f>17.06</f>
        <v>17.059999999999999</v>
      </c>
      <c r="K37" s="5">
        <f>30.45</f>
        <v>30.45</v>
      </c>
      <c r="L37" s="5">
        <f t="shared" si="28"/>
        <v>-13.39</v>
      </c>
      <c r="M37" s="6">
        <f t="shared" si="29"/>
        <v>0.56026272577996716</v>
      </c>
      <c r="N37" s="5">
        <f>24.08</f>
        <v>24.08</v>
      </c>
      <c r="O37" s="5">
        <f>30.45</f>
        <v>30.45</v>
      </c>
      <c r="P37" s="5">
        <f t="shared" si="30"/>
        <v>-6.370000000000001</v>
      </c>
      <c r="Q37" s="6">
        <f t="shared" si="31"/>
        <v>0.79080459770114941</v>
      </c>
      <c r="R37" s="5">
        <f>24.08</f>
        <v>24.08</v>
      </c>
      <c r="S37" s="5">
        <f>30.45</f>
        <v>30.45</v>
      </c>
      <c r="T37" s="5">
        <f t="shared" si="32"/>
        <v>-6.370000000000001</v>
      </c>
      <c r="U37" s="6">
        <f t="shared" si="33"/>
        <v>0.79080459770114941</v>
      </c>
      <c r="V37" s="5">
        <f>24.08</f>
        <v>24.08</v>
      </c>
      <c r="W37" s="5">
        <f>30.45</f>
        <v>30.45</v>
      </c>
      <c r="X37" s="5">
        <f t="shared" si="34"/>
        <v>-6.370000000000001</v>
      </c>
      <c r="Y37" s="6">
        <f t="shared" si="35"/>
        <v>0.79080459770114941</v>
      </c>
      <c r="Z37" s="5">
        <f>24.08</f>
        <v>24.08</v>
      </c>
      <c r="AA37" s="5">
        <f>30.45</f>
        <v>30.45</v>
      </c>
      <c r="AB37" s="5">
        <f t="shared" si="36"/>
        <v>-6.370000000000001</v>
      </c>
      <c r="AC37" s="6">
        <f t="shared" si="37"/>
        <v>0.79080459770114941</v>
      </c>
      <c r="AD37" s="5">
        <f>24.08</f>
        <v>24.08</v>
      </c>
      <c r="AE37" s="5">
        <f>30.45</f>
        <v>30.45</v>
      </c>
      <c r="AF37" s="5">
        <f t="shared" si="38"/>
        <v>-6.370000000000001</v>
      </c>
      <c r="AG37" s="6">
        <f t="shared" si="39"/>
        <v>0.79080459770114941</v>
      </c>
      <c r="AH37" s="5">
        <f>16.83</f>
        <v>16.829999999999998</v>
      </c>
      <c r="AI37" s="5">
        <f>30.45</f>
        <v>30.45</v>
      </c>
      <c r="AJ37" s="5">
        <f t="shared" si="40"/>
        <v>-13.620000000000001</v>
      </c>
      <c r="AK37" s="6">
        <f t="shared" si="41"/>
        <v>0.55270935960591128</v>
      </c>
      <c r="AL37" s="5">
        <f>24.08</f>
        <v>24.08</v>
      </c>
      <c r="AM37" s="5">
        <f>30.45</f>
        <v>30.45</v>
      </c>
      <c r="AN37" s="5">
        <f t="shared" si="42"/>
        <v>-6.370000000000001</v>
      </c>
      <c r="AO37" s="4"/>
      <c r="AP37" s="5">
        <f>30.45</f>
        <v>30.45</v>
      </c>
      <c r="AQ37" s="5">
        <f t="shared" si="43"/>
        <v>-30.45</v>
      </c>
      <c r="AR37" s="4"/>
      <c r="AS37" s="5">
        <f>30.45</f>
        <v>30.45</v>
      </c>
      <c r="AT37" s="5">
        <f t="shared" si="44"/>
        <v>-30.45</v>
      </c>
      <c r="AU37" s="23">
        <f t="shared" si="45"/>
        <v>226.98999999999995</v>
      </c>
      <c r="AV37" s="14">
        <f t="shared" si="46"/>
        <v>272.38799999999992</v>
      </c>
      <c r="AW37" s="24">
        <f t="shared" si="47"/>
        <v>365.39999999999992</v>
      </c>
      <c r="AX37" s="14">
        <f t="shared" si="48"/>
        <v>-138.40999999999997</v>
      </c>
      <c r="AY37" s="23"/>
      <c r="AZ37" s="14"/>
      <c r="BA37" s="13" t="s">
        <v>143</v>
      </c>
      <c r="BB37" s="24">
        <f>-(20.72*26)</f>
        <v>-538.72</v>
      </c>
    </row>
    <row r="38" spans="1:54" x14ac:dyDescent="0.25">
      <c r="A38" s="3" t="s">
        <v>47</v>
      </c>
      <c r="B38" s="5">
        <f>0</f>
        <v>0</v>
      </c>
      <c r="C38" s="4"/>
      <c r="D38" s="5">
        <f t="shared" si="24"/>
        <v>0</v>
      </c>
      <c r="E38" s="6" t="str">
        <f t="shared" si="25"/>
        <v/>
      </c>
      <c r="F38" s="5">
        <f>0</f>
        <v>0</v>
      </c>
      <c r="G38" s="4"/>
      <c r="H38" s="5">
        <f t="shared" si="26"/>
        <v>0</v>
      </c>
      <c r="I38" s="6" t="str">
        <f t="shared" si="27"/>
        <v/>
      </c>
      <c r="J38" s="5">
        <f>0</f>
        <v>0</v>
      </c>
      <c r="K38" s="4"/>
      <c r="L38" s="5">
        <f t="shared" si="28"/>
        <v>0</v>
      </c>
      <c r="M38" s="6" t="str">
        <f t="shared" si="29"/>
        <v/>
      </c>
      <c r="N38" s="5">
        <f>0</f>
        <v>0</v>
      </c>
      <c r="O38" s="4"/>
      <c r="P38" s="5">
        <f t="shared" si="30"/>
        <v>0</v>
      </c>
      <c r="Q38" s="6" t="str">
        <f t="shared" si="31"/>
        <v/>
      </c>
      <c r="R38" s="5">
        <f>0</f>
        <v>0</v>
      </c>
      <c r="S38" s="4"/>
      <c r="T38" s="5">
        <f t="shared" si="32"/>
        <v>0</v>
      </c>
      <c r="U38" s="6" t="str">
        <f t="shared" si="33"/>
        <v/>
      </c>
      <c r="V38" s="5">
        <f>0</f>
        <v>0</v>
      </c>
      <c r="W38" s="4"/>
      <c r="X38" s="5">
        <f t="shared" si="34"/>
        <v>0</v>
      </c>
      <c r="Y38" s="6" t="str">
        <f t="shared" si="35"/>
        <v/>
      </c>
      <c r="Z38" s="5">
        <f>0</f>
        <v>0</v>
      </c>
      <c r="AA38" s="4"/>
      <c r="AB38" s="5">
        <f t="shared" si="36"/>
        <v>0</v>
      </c>
      <c r="AC38" s="6" t="str">
        <f t="shared" si="37"/>
        <v/>
      </c>
      <c r="AD38" s="5">
        <f>0</f>
        <v>0</v>
      </c>
      <c r="AE38" s="4"/>
      <c r="AF38" s="5">
        <f t="shared" si="38"/>
        <v>0</v>
      </c>
      <c r="AG38" s="6" t="str">
        <f t="shared" si="39"/>
        <v/>
      </c>
      <c r="AH38" s="5">
        <f>0</f>
        <v>0</v>
      </c>
      <c r="AI38" s="4"/>
      <c r="AJ38" s="5">
        <f t="shared" si="40"/>
        <v>0</v>
      </c>
      <c r="AK38" s="6" t="str">
        <f t="shared" si="41"/>
        <v/>
      </c>
      <c r="AL38" s="5">
        <f>0</f>
        <v>0</v>
      </c>
      <c r="AM38" s="4"/>
      <c r="AN38" s="5">
        <f t="shared" si="42"/>
        <v>0</v>
      </c>
      <c r="AO38" s="5">
        <v>0</v>
      </c>
      <c r="AP38" s="4"/>
      <c r="AQ38" s="5">
        <f t="shared" si="43"/>
        <v>0</v>
      </c>
      <c r="AR38" s="4"/>
      <c r="AS38" s="4"/>
      <c r="AT38" s="5">
        <f t="shared" si="44"/>
        <v>0</v>
      </c>
      <c r="AU38" s="23">
        <f t="shared" si="45"/>
        <v>0</v>
      </c>
      <c r="AV38" s="14">
        <f t="shared" si="46"/>
        <v>0</v>
      </c>
      <c r="AW38" s="24">
        <f t="shared" si="47"/>
        <v>0</v>
      </c>
      <c r="AX38" s="14">
        <f t="shared" si="48"/>
        <v>0</v>
      </c>
      <c r="AY38" s="23"/>
      <c r="AZ38" s="14"/>
      <c r="BA38" s="13"/>
      <c r="BB38" s="24"/>
    </row>
    <row r="39" spans="1:54" x14ac:dyDescent="0.25">
      <c r="A39" s="3" t="s">
        <v>48</v>
      </c>
      <c r="B39" s="7">
        <f>(((B35)+(B36))+(B37))+(B38)</f>
        <v>69.47</v>
      </c>
      <c r="C39" s="7">
        <f>(((C35)+(C36))+(C37))+(C38)</f>
        <v>87</v>
      </c>
      <c r="D39" s="7">
        <f t="shared" si="24"/>
        <v>-17.53</v>
      </c>
      <c r="E39" s="8">
        <f t="shared" si="25"/>
        <v>0.79850574712643674</v>
      </c>
      <c r="F39" s="7">
        <f>(((F35)+(F36))+(F37))+(F38)</f>
        <v>69.47</v>
      </c>
      <c r="G39" s="7">
        <f>(((G35)+(G36))+(G37))+(G38)</f>
        <v>87</v>
      </c>
      <c r="H39" s="7">
        <f t="shared" si="26"/>
        <v>-17.53</v>
      </c>
      <c r="I39" s="8">
        <f t="shared" si="27"/>
        <v>0.79850574712643674</v>
      </c>
      <c r="J39" s="7">
        <f>(((J35)+(J36))+(J37))+(J38)</f>
        <v>48.75</v>
      </c>
      <c r="K39" s="7">
        <f>(((K35)+(K36))+(K37))+(K38)</f>
        <v>87</v>
      </c>
      <c r="L39" s="7">
        <f t="shared" si="28"/>
        <v>-38.25</v>
      </c>
      <c r="M39" s="8">
        <f t="shared" si="29"/>
        <v>0.56034482758620685</v>
      </c>
      <c r="N39" s="7">
        <f>(((N35)+(N36))+(N37))+(N38)</f>
        <v>68.81</v>
      </c>
      <c r="O39" s="7">
        <f>(((O35)+(O36))+(O37))+(O38)</f>
        <v>87</v>
      </c>
      <c r="P39" s="7">
        <f t="shared" si="30"/>
        <v>-18.189999999999998</v>
      </c>
      <c r="Q39" s="8">
        <f t="shared" si="31"/>
        <v>0.79091954022988509</v>
      </c>
      <c r="R39" s="7">
        <f>(((R35)+(R36))+(R37))+(R38)</f>
        <v>68.81</v>
      </c>
      <c r="S39" s="7">
        <f>(((S35)+(S36))+(S37))+(S38)</f>
        <v>87</v>
      </c>
      <c r="T39" s="7">
        <f t="shared" si="32"/>
        <v>-18.189999999999998</v>
      </c>
      <c r="U39" s="8">
        <f t="shared" si="33"/>
        <v>0.79091954022988509</v>
      </c>
      <c r="V39" s="7">
        <f>(((V35)+(V36))+(V37))+(V38)</f>
        <v>68.81</v>
      </c>
      <c r="W39" s="7">
        <f>(((W35)+(W36))+(W37))+(W38)</f>
        <v>87</v>
      </c>
      <c r="X39" s="7">
        <f t="shared" si="34"/>
        <v>-18.189999999999998</v>
      </c>
      <c r="Y39" s="8">
        <f t="shared" si="35"/>
        <v>0.79091954022988509</v>
      </c>
      <c r="Z39" s="7">
        <f>(((Z35)+(Z36))+(Z37))+(Z38)</f>
        <v>68.81</v>
      </c>
      <c r="AA39" s="7">
        <f>(((AA35)+(AA36))+(AA37))+(AA38)</f>
        <v>87</v>
      </c>
      <c r="AB39" s="7">
        <f t="shared" si="36"/>
        <v>-18.189999999999998</v>
      </c>
      <c r="AC39" s="8">
        <f t="shared" si="37"/>
        <v>0.79091954022988509</v>
      </c>
      <c r="AD39" s="7">
        <f>(((AD35)+(AD36))+(AD37))+(AD38)</f>
        <v>68.81</v>
      </c>
      <c r="AE39" s="7">
        <f>(((AE35)+(AE36))+(AE37))+(AE38)</f>
        <v>87</v>
      </c>
      <c r="AF39" s="7">
        <f t="shared" si="38"/>
        <v>-18.189999999999998</v>
      </c>
      <c r="AG39" s="8">
        <f t="shared" si="39"/>
        <v>0.79091954022988509</v>
      </c>
      <c r="AH39" s="7">
        <f>(((AH35)+(AH36))+(AH37))+(AH38)</f>
        <v>48.09</v>
      </c>
      <c r="AI39" s="7">
        <f>(((AI35)+(AI36))+(AI37))+(AI38)</f>
        <v>87</v>
      </c>
      <c r="AJ39" s="7">
        <f t="shared" si="40"/>
        <v>-38.909999999999997</v>
      </c>
      <c r="AK39" s="8">
        <f t="shared" si="41"/>
        <v>0.5527586206896552</v>
      </c>
      <c r="AL39" s="7">
        <f>(((AL35)+(AL36))+(AL37))+(AL38)</f>
        <v>68.81</v>
      </c>
      <c r="AM39" s="7">
        <f>(((AM35)+(AM36))+(AM37))+(AM38)</f>
        <v>87</v>
      </c>
      <c r="AN39" s="7">
        <f t="shared" si="42"/>
        <v>-18.189999999999998</v>
      </c>
      <c r="AO39" s="7">
        <f>(((AO35)+(AO36))+(AO37))+(AO38)</f>
        <v>0</v>
      </c>
      <c r="AP39" s="7">
        <f>(((AP35)+(AP36))+(AP37))+(AP38)</f>
        <v>87</v>
      </c>
      <c r="AQ39" s="7">
        <f t="shared" si="43"/>
        <v>-87</v>
      </c>
      <c r="AR39" s="7">
        <f>(((AR35)+(AR36))+(AR37))+(AR38)</f>
        <v>0</v>
      </c>
      <c r="AS39" s="7">
        <f>(((AS35)+(AS36))+(AS37))+(AS38)</f>
        <v>87</v>
      </c>
      <c r="AT39" s="7">
        <f t="shared" si="44"/>
        <v>-87</v>
      </c>
      <c r="AU39" s="25">
        <f t="shared" si="45"/>
        <v>648.6400000000001</v>
      </c>
      <c r="AV39" s="16">
        <f t="shared" si="46"/>
        <v>778.36800000000005</v>
      </c>
      <c r="AW39" s="26">
        <f t="shared" si="47"/>
        <v>1044</v>
      </c>
      <c r="AX39" s="16">
        <f t="shared" si="48"/>
        <v>-395.3599999999999</v>
      </c>
      <c r="AY39" s="25">
        <f>BB39</f>
        <v>837.2</v>
      </c>
      <c r="AZ39" s="18">
        <f>AY39-AW39</f>
        <v>-206.79999999999995</v>
      </c>
      <c r="BA39" s="13"/>
      <c r="BB39" s="26">
        <f>SUM(BB36:BB38)</f>
        <v>837.2</v>
      </c>
    </row>
    <row r="40" spans="1:54" x14ac:dyDescent="0.25">
      <c r="A40" s="3" t="s">
        <v>49</v>
      </c>
      <c r="B40" s="4"/>
      <c r="C40" s="4"/>
      <c r="D40" s="5">
        <f t="shared" si="24"/>
        <v>0</v>
      </c>
      <c r="E40" s="6" t="str">
        <f t="shared" si="25"/>
        <v/>
      </c>
      <c r="F40" s="4"/>
      <c r="G40" s="4"/>
      <c r="H40" s="5">
        <f t="shared" si="26"/>
        <v>0</v>
      </c>
      <c r="I40" s="6" t="str">
        <f t="shared" si="27"/>
        <v/>
      </c>
      <c r="J40" s="4"/>
      <c r="K40" s="4"/>
      <c r="L40" s="5">
        <f t="shared" si="28"/>
        <v>0</v>
      </c>
      <c r="M40" s="6" t="str">
        <f t="shared" si="29"/>
        <v/>
      </c>
      <c r="N40" s="4"/>
      <c r="O40" s="4"/>
      <c r="P40" s="5">
        <f t="shared" si="30"/>
        <v>0</v>
      </c>
      <c r="Q40" s="6" t="str">
        <f t="shared" si="31"/>
        <v/>
      </c>
      <c r="R40" s="4"/>
      <c r="S40" s="4"/>
      <c r="T40" s="5">
        <f t="shared" si="32"/>
        <v>0</v>
      </c>
      <c r="U40" s="6" t="str">
        <f t="shared" si="33"/>
        <v/>
      </c>
      <c r="V40" s="4"/>
      <c r="W40" s="4"/>
      <c r="X40" s="5">
        <f t="shared" si="34"/>
        <v>0</v>
      </c>
      <c r="Y40" s="6" t="str">
        <f t="shared" si="35"/>
        <v/>
      </c>
      <c r="Z40" s="4"/>
      <c r="AA40" s="4"/>
      <c r="AB40" s="5">
        <f t="shared" si="36"/>
        <v>0</v>
      </c>
      <c r="AC40" s="6" t="str">
        <f t="shared" si="37"/>
        <v/>
      </c>
      <c r="AD40" s="4"/>
      <c r="AE40" s="4"/>
      <c r="AF40" s="5">
        <f t="shared" si="38"/>
        <v>0</v>
      </c>
      <c r="AG40" s="6" t="str">
        <f t="shared" si="39"/>
        <v/>
      </c>
      <c r="AH40" s="4"/>
      <c r="AI40" s="4"/>
      <c r="AJ40" s="5">
        <f t="shared" si="40"/>
        <v>0</v>
      </c>
      <c r="AK40" s="6" t="str">
        <f t="shared" si="41"/>
        <v/>
      </c>
      <c r="AL40" s="4"/>
      <c r="AM40" s="4"/>
      <c r="AN40" s="5">
        <f t="shared" si="42"/>
        <v>0</v>
      </c>
      <c r="AO40" s="4"/>
      <c r="AP40" s="4"/>
      <c r="AQ40" s="5">
        <f t="shared" si="43"/>
        <v>0</v>
      </c>
      <c r="AR40" s="4"/>
      <c r="AS40" s="4"/>
      <c r="AT40" s="5">
        <f t="shared" si="44"/>
        <v>0</v>
      </c>
      <c r="AU40" s="23">
        <f t="shared" si="45"/>
        <v>0</v>
      </c>
      <c r="AV40" s="14">
        <f t="shared" si="46"/>
        <v>0</v>
      </c>
      <c r="AW40" s="24">
        <f t="shared" si="47"/>
        <v>0</v>
      </c>
      <c r="AX40" s="14">
        <f t="shared" si="48"/>
        <v>0</v>
      </c>
      <c r="AY40" s="23"/>
      <c r="AZ40" s="14"/>
      <c r="BA40" s="13"/>
      <c r="BB40" s="24"/>
    </row>
    <row r="41" spans="1:54" x14ac:dyDescent="0.25">
      <c r="A41" s="3" t="s">
        <v>50</v>
      </c>
      <c r="B41" s="5">
        <f>1031.82</f>
        <v>1031.82</v>
      </c>
      <c r="C41" s="5">
        <f>1381.58</f>
        <v>1381.58</v>
      </c>
      <c r="D41" s="5">
        <f t="shared" si="24"/>
        <v>-349.76</v>
      </c>
      <c r="E41" s="6">
        <f t="shared" si="25"/>
        <v>0.74684057383575331</v>
      </c>
      <c r="F41" s="5">
        <f>1031.82</f>
        <v>1031.82</v>
      </c>
      <c r="G41" s="5">
        <f>1381.58</f>
        <v>1381.58</v>
      </c>
      <c r="H41" s="5">
        <f t="shared" si="26"/>
        <v>-349.76</v>
      </c>
      <c r="I41" s="6">
        <f t="shared" si="27"/>
        <v>0.74684057383575331</v>
      </c>
      <c r="J41" s="5">
        <f>858.62</f>
        <v>858.62</v>
      </c>
      <c r="K41" s="5">
        <f>1381.58</f>
        <v>1381.58</v>
      </c>
      <c r="L41" s="5">
        <f t="shared" si="28"/>
        <v>-522.95999999999992</v>
      </c>
      <c r="M41" s="6">
        <f t="shared" si="29"/>
        <v>0.6214768598271545</v>
      </c>
      <c r="N41" s="5">
        <f>6036.82</f>
        <v>6036.82</v>
      </c>
      <c r="O41" s="5">
        <f>1381.58</f>
        <v>1381.58</v>
      </c>
      <c r="P41" s="5">
        <f t="shared" si="30"/>
        <v>4655.24</v>
      </c>
      <c r="Q41" s="6">
        <f t="shared" si="31"/>
        <v>4.3695044803775387</v>
      </c>
      <c r="R41" s="5">
        <f>1031.82</f>
        <v>1031.82</v>
      </c>
      <c r="S41" s="5">
        <f>1381.58</f>
        <v>1381.58</v>
      </c>
      <c r="T41" s="5">
        <f t="shared" si="32"/>
        <v>-349.76</v>
      </c>
      <c r="U41" s="6">
        <f t="shared" si="33"/>
        <v>0.74684057383575331</v>
      </c>
      <c r="V41" s="5">
        <f>1031.82</f>
        <v>1031.82</v>
      </c>
      <c r="W41" s="5">
        <f>1381.58</f>
        <v>1381.58</v>
      </c>
      <c r="X41" s="5">
        <f t="shared" si="34"/>
        <v>-349.76</v>
      </c>
      <c r="Y41" s="6">
        <f t="shared" si="35"/>
        <v>0.74684057383575331</v>
      </c>
      <c r="Z41" s="5">
        <f>1031.82</f>
        <v>1031.82</v>
      </c>
      <c r="AA41" s="5">
        <f>1381.58</f>
        <v>1381.58</v>
      </c>
      <c r="AB41" s="5">
        <f t="shared" si="36"/>
        <v>-349.76</v>
      </c>
      <c r="AC41" s="6">
        <f t="shared" si="37"/>
        <v>0.74684057383575331</v>
      </c>
      <c r="AD41" s="5">
        <f>1031.82</f>
        <v>1031.82</v>
      </c>
      <c r="AE41" s="5">
        <f>1381.58</f>
        <v>1381.58</v>
      </c>
      <c r="AF41" s="5">
        <f t="shared" si="38"/>
        <v>-349.76</v>
      </c>
      <c r="AG41" s="6">
        <f t="shared" si="39"/>
        <v>0.74684057383575331</v>
      </c>
      <c r="AH41" s="5">
        <f>858.62</f>
        <v>858.62</v>
      </c>
      <c r="AI41" s="5">
        <f>1381.58</f>
        <v>1381.58</v>
      </c>
      <c r="AJ41" s="5">
        <f t="shared" si="40"/>
        <v>-522.95999999999992</v>
      </c>
      <c r="AK41" s="6">
        <f t="shared" si="41"/>
        <v>0.6214768598271545</v>
      </c>
      <c r="AL41" s="5">
        <f>1031.82</f>
        <v>1031.82</v>
      </c>
      <c r="AM41" s="5">
        <f>1381.58</f>
        <v>1381.58</v>
      </c>
      <c r="AN41" s="5">
        <f t="shared" si="42"/>
        <v>-349.76</v>
      </c>
      <c r="AO41" s="4"/>
      <c r="AP41" s="5">
        <f>1381.58</f>
        <v>1381.58</v>
      </c>
      <c r="AQ41" s="5">
        <f t="shared" si="43"/>
        <v>-1381.58</v>
      </c>
      <c r="AR41" s="4"/>
      <c r="AS41" s="5">
        <f>1381.52</f>
        <v>1381.52</v>
      </c>
      <c r="AT41" s="5">
        <f t="shared" si="44"/>
        <v>-1381.52</v>
      </c>
      <c r="AU41" s="23">
        <f t="shared" si="45"/>
        <v>14976.8</v>
      </c>
      <c r="AV41" s="14">
        <f t="shared" si="46"/>
        <v>17972.159999999996</v>
      </c>
      <c r="AW41" s="24">
        <f t="shared" si="47"/>
        <v>16578.899999999998</v>
      </c>
      <c r="AX41" s="14">
        <f t="shared" si="48"/>
        <v>-1602.0999999999985</v>
      </c>
      <c r="AY41" s="23"/>
      <c r="AZ41" s="14"/>
      <c r="BA41" s="13" t="s">
        <v>146</v>
      </c>
      <c r="BB41" s="24">
        <f>(2120*1.0442)*12</f>
        <v>26564.448000000004</v>
      </c>
    </row>
    <row r="42" spans="1:54" x14ac:dyDescent="0.25">
      <c r="A42" s="3" t="s">
        <v>51</v>
      </c>
      <c r="B42" s="5">
        <f>555.6</f>
        <v>555.6</v>
      </c>
      <c r="C42" s="5">
        <f>743.93</f>
        <v>743.93</v>
      </c>
      <c r="D42" s="5">
        <f t="shared" si="24"/>
        <v>-188.32999999999993</v>
      </c>
      <c r="E42" s="6">
        <f t="shared" si="25"/>
        <v>0.7468444611724222</v>
      </c>
      <c r="F42" s="5">
        <f>555.6</f>
        <v>555.6</v>
      </c>
      <c r="G42" s="5">
        <f>743.93</f>
        <v>743.93</v>
      </c>
      <c r="H42" s="5">
        <f t="shared" si="26"/>
        <v>-188.32999999999993</v>
      </c>
      <c r="I42" s="6">
        <f t="shared" si="27"/>
        <v>0.7468444611724222</v>
      </c>
      <c r="J42" s="5">
        <f>462.34</f>
        <v>462.34</v>
      </c>
      <c r="K42" s="5">
        <f>743.93</f>
        <v>743.93</v>
      </c>
      <c r="L42" s="5">
        <f t="shared" si="28"/>
        <v>-281.58999999999997</v>
      </c>
      <c r="M42" s="6">
        <f t="shared" si="29"/>
        <v>0.62148320406489854</v>
      </c>
      <c r="N42" s="5">
        <f>3250.6</f>
        <v>3250.6</v>
      </c>
      <c r="O42" s="5">
        <f>743.93</f>
        <v>743.93</v>
      </c>
      <c r="P42" s="5">
        <f t="shared" si="30"/>
        <v>2506.67</v>
      </c>
      <c r="Q42" s="6">
        <f t="shared" si="31"/>
        <v>4.3694971301063275</v>
      </c>
      <c r="R42" s="5">
        <f>555.6</f>
        <v>555.6</v>
      </c>
      <c r="S42" s="5">
        <f>743.93</f>
        <v>743.93</v>
      </c>
      <c r="T42" s="5">
        <f t="shared" si="32"/>
        <v>-188.32999999999993</v>
      </c>
      <c r="U42" s="6">
        <f t="shared" si="33"/>
        <v>0.7468444611724222</v>
      </c>
      <c r="V42" s="5">
        <f>555.6</f>
        <v>555.6</v>
      </c>
      <c r="W42" s="5">
        <f>743.93</f>
        <v>743.93</v>
      </c>
      <c r="X42" s="5">
        <f t="shared" si="34"/>
        <v>-188.32999999999993</v>
      </c>
      <c r="Y42" s="6">
        <f t="shared" si="35"/>
        <v>0.7468444611724222</v>
      </c>
      <c r="Z42" s="5">
        <f>555.6</f>
        <v>555.6</v>
      </c>
      <c r="AA42" s="5">
        <f>743.93</f>
        <v>743.93</v>
      </c>
      <c r="AB42" s="5">
        <f t="shared" si="36"/>
        <v>-188.32999999999993</v>
      </c>
      <c r="AC42" s="6">
        <f t="shared" si="37"/>
        <v>0.7468444611724222</v>
      </c>
      <c r="AD42" s="5">
        <f>555.6</f>
        <v>555.6</v>
      </c>
      <c r="AE42" s="5">
        <f>743.93</f>
        <v>743.93</v>
      </c>
      <c r="AF42" s="5">
        <f t="shared" si="38"/>
        <v>-188.32999999999993</v>
      </c>
      <c r="AG42" s="6">
        <f t="shared" si="39"/>
        <v>0.7468444611724222</v>
      </c>
      <c r="AH42" s="5">
        <f>462.34</f>
        <v>462.34</v>
      </c>
      <c r="AI42" s="5">
        <f>743.93</f>
        <v>743.93</v>
      </c>
      <c r="AJ42" s="5">
        <f t="shared" si="40"/>
        <v>-281.58999999999997</v>
      </c>
      <c r="AK42" s="6">
        <f t="shared" si="41"/>
        <v>0.62148320406489854</v>
      </c>
      <c r="AL42" s="5">
        <f>555.6</f>
        <v>555.6</v>
      </c>
      <c r="AM42" s="5">
        <f>743.93</f>
        <v>743.93</v>
      </c>
      <c r="AN42" s="5">
        <f t="shared" si="42"/>
        <v>-188.32999999999993</v>
      </c>
      <c r="AO42" s="4"/>
      <c r="AP42" s="5">
        <f>743.93</f>
        <v>743.93</v>
      </c>
      <c r="AQ42" s="5">
        <f t="shared" si="43"/>
        <v>-743.93</v>
      </c>
      <c r="AR42" s="4"/>
      <c r="AS42" s="5">
        <f>743.87</f>
        <v>743.87</v>
      </c>
      <c r="AT42" s="5">
        <f t="shared" si="44"/>
        <v>-743.87</v>
      </c>
      <c r="AU42" s="23">
        <f t="shared" si="45"/>
        <v>8064.4800000000014</v>
      </c>
      <c r="AV42" s="14">
        <f t="shared" si="46"/>
        <v>9677.3760000000002</v>
      </c>
      <c r="AW42" s="24">
        <f t="shared" si="47"/>
        <v>8927.1000000000022</v>
      </c>
      <c r="AX42" s="14">
        <f t="shared" si="48"/>
        <v>-862.6200000000008</v>
      </c>
      <c r="AY42" s="23"/>
      <c r="AZ42" s="14"/>
      <c r="BA42" s="13" t="s">
        <v>183</v>
      </c>
      <c r="BB42" s="24">
        <f>4150*2</f>
        <v>8300</v>
      </c>
    </row>
    <row r="43" spans="1:54" x14ac:dyDescent="0.25">
      <c r="A43" s="3" t="s">
        <v>52</v>
      </c>
      <c r="B43" s="5">
        <f>0</f>
        <v>0</v>
      </c>
      <c r="C43" s="4"/>
      <c r="D43" s="5">
        <f t="shared" si="24"/>
        <v>0</v>
      </c>
      <c r="E43" s="6" t="str">
        <f t="shared" si="25"/>
        <v/>
      </c>
      <c r="F43" s="5">
        <f>0</f>
        <v>0</v>
      </c>
      <c r="G43" s="4"/>
      <c r="H43" s="5">
        <f t="shared" si="26"/>
        <v>0</v>
      </c>
      <c r="I43" s="6" t="str">
        <f t="shared" si="27"/>
        <v/>
      </c>
      <c r="J43" s="5">
        <f>0</f>
        <v>0</v>
      </c>
      <c r="K43" s="4"/>
      <c r="L43" s="5">
        <f t="shared" si="28"/>
        <v>0</v>
      </c>
      <c r="M43" s="6" t="str">
        <f t="shared" si="29"/>
        <v/>
      </c>
      <c r="N43" s="5">
        <f>0</f>
        <v>0</v>
      </c>
      <c r="O43" s="4"/>
      <c r="P43" s="5">
        <f t="shared" si="30"/>
        <v>0</v>
      </c>
      <c r="Q43" s="6" t="str">
        <f t="shared" si="31"/>
        <v/>
      </c>
      <c r="R43" s="5">
        <f>0</f>
        <v>0</v>
      </c>
      <c r="S43" s="4"/>
      <c r="T43" s="5">
        <f t="shared" si="32"/>
        <v>0</v>
      </c>
      <c r="U43" s="6" t="str">
        <f t="shared" si="33"/>
        <v/>
      </c>
      <c r="V43" s="5">
        <f>0</f>
        <v>0</v>
      </c>
      <c r="W43" s="4"/>
      <c r="X43" s="5">
        <f t="shared" si="34"/>
        <v>0</v>
      </c>
      <c r="Y43" s="6" t="str">
        <f t="shared" si="35"/>
        <v/>
      </c>
      <c r="Z43" s="5">
        <f>0</f>
        <v>0</v>
      </c>
      <c r="AA43" s="4"/>
      <c r="AB43" s="5">
        <f t="shared" si="36"/>
        <v>0</v>
      </c>
      <c r="AC43" s="6" t="str">
        <f t="shared" si="37"/>
        <v/>
      </c>
      <c r="AD43" s="5">
        <f>0</f>
        <v>0</v>
      </c>
      <c r="AE43" s="4"/>
      <c r="AF43" s="5">
        <f t="shared" si="38"/>
        <v>0</v>
      </c>
      <c r="AG43" s="6" t="str">
        <f t="shared" si="39"/>
        <v/>
      </c>
      <c r="AH43" s="5">
        <f>0</f>
        <v>0</v>
      </c>
      <c r="AI43" s="4"/>
      <c r="AJ43" s="5">
        <f t="shared" si="40"/>
        <v>0</v>
      </c>
      <c r="AK43" s="6" t="str">
        <f t="shared" si="41"/>
        <v/>
      </c>
      <c r="AL43" s="5">
        <f>2120.34</f>
        <v>2120.34</v>
      </c>
      <c r="AM43" s="4"/>
      <c r="AN43" s="5">
        <f t="shared" si="42"/>
        <v>2120.34</v>
      </c>
      <c r="AO43" s="4"/>
      <c r="AP43" s="4"/>
      <c r="AQ43" s="5">
        <f t="shared" si="43"/>
        <v>0</v>
      </c>
      <c r="AR43" s="4"/>
      <c r="AS43" s="4"/>
      <c r="AT43" s="5">
        <f t="shared" si="44"/>
        <v>0</v>
      </c>
      <c r="AU43" s="23">
        <v>0</v>
      </c>
      <c r="AV43" s="14">
        <f t="shared" si="46"/>
        <v>0</v>
      </c>
      <c r="AW43" s="24">
        <f t="shared" si="47"/>
        <v>0</v>
      </c>
      <c r="AX43" s="14">
        <f t="shared" si="48"/>
        <v>0</v>
      </c>
      <c r="AY43" s="23"/>
      <c r="AZ43" s="14"/>
      <c r="BA43" s="13" t="s">
        <v>147</v>
      </c>
      <c r="BB43" s="24">
        <f>-266.42*12</f>
        <v>-3197.04</v>
      </c>
    </row>
    <row r="44" spans="1:54" ht="23.25" x14ac:dyDescent="0.25">
      <c r="A44" s="3" t="s">
        <v>53</v>
      </c>
      <c r="B44" s="7">
        <f>(((B40)+(B41))+(B42))+(B43)</f>
        <v>1587.42</v>
      </c>
      <c r="C44" s="7">
        <f>(((C40)+(C41))+(C42))+(C43)</f>
        <v>2125.5099999999998</v>
      </c>
      <c r="D44" s="7">
        <f t="shared" si="24"/>
        <v>-538.08999999999969</v>
      </c>
      <c r="E44" s="8">
        <f t="shared" si="25"/>
        <v>0.74684193440633084</v>
      </c>
      <c r="F44" s="7">
        <f>(((F40)+(F41))+(F42))+(F43)</f>
        <v>1587.42</v>
      </c>
      <c r="G44" s="7">
        <f>(((G40)+(G41))+(G42))+(G43)</f>
        <v>2125.5099999999998</v>
      </c>
      <c r="H44" s="7">
        <f t="shared" si="26"/>
        <v>-538.08999999999969</v>
      </c>
      <c r="I44" s="8">
        <f t="shared" si="27"/>
        <v>0.74684193440633084</v>
      </c>
      <c r="J44" s="7">
        <f>(((J40)+(J41))+(J42))+(J43)</f>
        <v>1320.96</v>
      </c>
      <c r="K44" s="7">
        <f>(((K40)+(K41))+(K42))+(K43)</f>
        <v>2125.5099999999998</v>
      </c>
      <c r="L44" s="7">
        <f t="shared" si="28"/>
        <v>-804.54999999999973</v>
      </c>
      <c r="M44" s="8">
        <f t="shared" si="29"/>
        <v>0.62147908031484222</v>
      </c>
      <c r="N44" s="7">
        <f>(((N40)+(N41))+(N42))+(N43)</f>
        <v>9287.42</v>
      </c>
      <c r="O44" s="7">
        <f>(((O40)+(O41))+(O42))+(O43)</f>
        <v>2125.5099999999998</v>
      </c>
      <c r="P44" s="7">
        <f t="shared" si="30"/>
        <v>7161.91</v>
      </c>
      <c r="Q44" s="8">
        <f t="shared" si="31"/>
        <v>4.369501907777428</v>
      </c>
      <c r="R44" s="7">
        <f>(((R40)+(R41))+(R42))+(R43)</f>
        <v>1587.42</v>
      </c>
      <c r="S44" s="7">
        <f>(((S40)+(S41))+(S42))+(S43)</f>
        <v>2125.5099999999998</v>
      </c>
      <c r="T44" s="7">
        <f t="shared" si="32"/>
        <v>-538.08999999999969</v>
      </c>
      <c r="U44" s="8">
        <f t="shared" si="33"/>
        <v>0.74684193440633084</v>
      </c>
      <c r="V44" s="7">
        <f>(((V40)+(V41))+(V42))+(V43)</f>
        <v>1587.42</v>
      </c>
      <c r="W44" s="7">
        <f>(((W40)+(W41))+(W42))+(W43)</f>
        <v>2125.5099999999998</v>
      </c>
      <c r="X44" s="7">
        <f t="shared" si="34"/>
        <v>-538.08999999999969</v>
      </c>
      <c r="Y44" s="8">
        <f t="shared" si="35"/>
        <v>0.74684193440633084</v>
      </c>
      <c r="Z44" s="7">
        <f>(((Z40)+(Z41))+(Z42))+(Z43)</f>
        <v>1587.42</v>
      </c>
      <c r="AA44" s="7">
        <f>(((AA40)+(AA41))+(AA42))+(AA43)</f>
        <v>2125.5099999999998</v>
      </c>
      <c r="AB44" s="7">
        <f t="shared" si="36"/>
        <v>-538.08999999999969</v>
      </c>
      <c r="AC44" s="8">
        <f t="shared" si="37"/>
        <v>0.74684193440633084</v>
      </c>
      <c r="AD44" s="7">
        <f>(((AD40)+(AD41))+(AD42))+(AD43)</f>
        <v>1587.42</v>
      </c>
      <c r="AE44" s="7">
        <f>(((AE40)+(AE41))+(AE42))+(AE43)</f>
        <v>2125.5099999999998</v>
      </c>
      <c r="AF44" s="7">
        <f t="shared" si="38"/>
        <v>-538.08999999999969</v>
      </c>
      <c r="AG44" s="8">
        <f t="shared" si="39"/>
        <v>0.74684193440633084</v>
      </c>
      <c r="AH44" s="7">
        <f>(((AH40)+(AH41))+(AH42))+(AH43)</f>
        <v>1320.96</v>
      </c>
      <c r="AI44" s="7">
        <f>(((AI40)+(AI41))+(AI42))+(AI43)</f>
        <v>2125.5099999999998</v>
      </c>
      <c r="AJ44" s="7">
        <f t="shared" si="40"/>
        <v>-804.54999999999973</v>
      </c>
      <c r="AK44" s="8">
        <f t="shared" si="41"/>
        <v>0.62147908031484222</v>
      </c>
      <c r="AL44" s="7">
        <f>(((AL40)+(AL41))+(AL42))+(AL43)</f>
        <v>3707.76</v>
      </c>
      <c r="AM44" s="7">
        <f>(((AM40)+(AM41))+(AM42))+(AM43)</f>
        <v>2125.5099999999998</v>
      </c>
      <c r="AN44" s="7">
        <f t="shared" si="42"/>
        <v>1582.2500000000005</v>
      </c>
      <c r="AO44" s="7">
        <f>(((AO40)+(AO41))+(AO42))+(AO43)</f>
        <v>0</v>
      </c>
      <c r="AP44" s="7">
        <f>(((AP40)+(AP41))+(AP42))+(AP43)</f>
        <v>2125.5099999999998</v>
      </c>
      <c r="AQ44" s="7">
        <f t="shared" si="43"/>
        <v>-2125.5099999999998</v>
      </c>
      <c r="AR44" s="7">
        <f>(((AR40)+(AR41))+(AR42))+(AR43)</f>
        <v>0</v>
      </c>
      <c r="AS44" s="7">
        <f>(((AS40)+(AS41))+(AS42))+(AS43)</f>
        <v>2125.39</v>
      </c>
      <c r="AT44" s="7">
        <f t="shared" si="44"/>
        <v>-2125.39</v>
      </c>
      <c r="AU44" s="25">
        <f t="shared" ref="AU44:AU67" si="49">(((((((((((B44)+(F44))+(J44))+(N44))+(R44))+(V44))+(Z44))+(AD44))+(AH44))+(AL44))+(AO44))+(AR44)</f>
        <v>25161.620000000003</v>
      </c>
      <c r="AV44" s="16">
        <f t="shared" si="46"/>
        <v>30193.944000000003</v>
      </c>
      <c r="AW44" s="26">
        <f t="shared" si="47"/>
        <v>25505.999999999993</v>
      </c>
      <c r="AX44" s="16">
        <f t="shared" si="48"/>
        <v>-344.3799999999901</v>
      </c>
      <c r="AY44" s="25">
        <f>BB44</f>
        <v>31667.408000000003</v>
      </c>
      <c r="AZ44" s="18">
        <f>AY44-AW44</f>
        <v>6161.4080000000104</v>
      </c>
      <c r="BA44" s="13"/>
      <c r="BB44" s="26">
        <f>SUM(BB41:BB43)</f>
        <v>31667.408000000003</v>
      </c>
    </row>
    <row r="45" spans="1:54" x14ac:dyDescent="0.25">
      <c r="A45" s="3" t="s">
        <v>54</v>
      </c>
      <c r="B45" s="4"/>
      <c r="C45" s="4"/>
      <c r="D45" s="5">
        <f t="shared" si="24"/>
        <v>0</v>
      </c>
      <c r="E45" s="6" t="str">
        <f t="shared" si="25"/>
        <v/>
      </c>
      <c r="F45" s="4"/>
      <c r="G45" s="4"/>
      <c r="H45" s="5">
        <f t="shared" si="26"/>
        <v>0</v>
      </c>
      <c r="I45" s="6" t="str">
        <f t="shared" si="27"/>
        <v/>
      </c>
      <c r="J45" s="4"/>
      <c r="K45" s="4"/>
      <c r="L45" s="5">
        <f t="shared" si="28"/>
        <v>0</v>
      </c>
      <c r="M45" s="6" t="str">
        <f t="shared" si="29"/>
        <v/>
      </c>
      <c r="N45" s="4"/>
      <c r="O45" s="4"/>
      <c r="P45" s="5">
        <f t="shared" si="30"/>
        <v>0</v>
      </c>
      <c r="Q45" s="6" t="str">
        <f t="shared" si="31"/>
        <v/>
      </c>
      <c r="R45" s="4"/>
      <c r="S45" s="4"/>
      <c r="T45" s="5">
        <f t="shared" si="32"/>
        <v>0</v>
      </c>
      <c r="U45" s="6" t="str">
        <f t="shared" si="33"/>
        <v/>
      </c>
      <c r="V45" s="4"/>
      <c r="W45" s="4"/>
      <c r="X45" s="5">
        <f t="shared" si="34"/>
        <v>0</v>
      </c>
      <c r="Y45" s="6" t="str">
        <f t="shared" si="35"/>
        <v/>
      </c>
      <c r="Z45" s="4"/>
      <c r="AA45" s="4"/>
      <c r="AB45" s="5">
        <f t="shared" si="36"/>
        <v>0</v>
      </c>
      <c r="AC45" s="6" t="str">
        <f t="shared" si="37"/>
        <v/>
      </c>
      <c r="AD45" s="4"/>
      <c r="AE45" s="4"/>
      <c r="AF45" s="5">
        <f t="shared" si="38"/>
        <v>0</v>
      </c>
      <c r="AG45" s="6" t="str">
        <f t="shared" si="39"/>
        <v/>
      </c>
      <c r="AH45" s="4"/>
      <c r="AI45" s="4"/>
      <c r="AJ45" s="5">
        <f t="shared" si="40"/>
        <v>0</v>
      </c>
      <c r="AK45" s="6" t="str">
        <f t="shared" si="41"/>
        <v/>
      </c>
      <c r="AL45" s="4"/>
      <c r="AM45" s="4"/>
      <c r="AN45" s="5">
        <f t="shared" si="42"/>
        <v>0</v>
      </c>
      <c r="AO45" s="4"/>
      <c r="AP45" s="4"/>
      <c r="AQ45" s="5">
        <f t="shared" si="43"/>
        <v>0</v>
      </c>
      <c r="AR45" s="4"/>
      <c r="AS45" s="4"/>
      <c r="AT45" s="5">
        <f t="shared" si="44"/>
        <v>0</v>
      </c>
      <c r="AU45" s="23">
        <f t="shared" si="49"/>
        <v>0</v>
      </c>
      <c r="AV45" s="14">
        <f t="shared" si="46"/>
        <v>0</v>
      </c>
      <c r="AW45" s="24">
        <f t="shared" si="47"/>
        <v>0</v>
      </c>
      <c r="AX45" s="14">
        <f t="shared" si="48"/>
        <v>0</v>
      </c>
      <c r="AY45" s="23"/>
      <c r="AZ45" s="14"/>
      <c r="BA45" s="13"/>
      <c r="BB45" s="24"/>
    </row>
    <row r="46" spans="1:54" x14ac:dyDescent="0.25">
      <c r="A46" s="3" t="s">
        <v>55</v>
      </c>
      <c r="B46" s="5">
        <f>210.98</f>
        <v>210.98</v>
      </c>
      <c r="C46" s="5">
        <f>210.98</f>
        <v>210.98</v>
      </c>
      <c r="D46" s="5">
        <f t="shared" si="24"/>
        <v>0</v>
      </c>
      <c r="E46" s="6">
        <f t="shared" si="25"/>
        <v>1</v>
      </c>
      <c r="F46" s="5">
        <f>210.98</f>
        <v>210.98</v>
      </c>
      <c r="G46" s="5">
        <f>210.98</f>
        <v>210.98</v>
      </c>
      <c r="H46" s="5">
        <f t="shared" si="26"/>
        <v>0</v>
      </c>
      <c r="I46" s="6">
        <f t="shared" si="27"/>
        <v>1</v>
      </c>
      <c r="J46" s="5">
        <f>210.98</f>
        <v>210.98</v>
      </c>
      <c r="K46" s="5">
        <f>210.98</f>
        <v>210.98</v>
      </c>
      <c r="L46" s="5">
        <f t="shared" si="28"/>
        <v>0</v>
      </c>
      <c r="M46" s="6">
        <f t="shared" si="29"/>
        <v>1</v>
      </c>
      <c r="N46" s="5">
        <f>210.98</f>
        <v>210.98</v>
      </c>
      <c r="O46" s="5">
        <f>210.98</f>
        <v>210.98</v>
      </c>
      <c r="P46" s="5">
        <f t="shared" si="30"/>
        <v>0</v>
      </c>
      <c r="Q46" s="6">
        <f t="shared" si="31"/>
        <v>1</v>
      </c>
      <c r="R46" s="5">
        <f>259.69</f>
        <v>259.69</v>
      </c>
      <c r="S46" s="5">
        <f>210.98</f>
        <v>210.98</v>
      </c>
      <c r="T46" s="5">
        <f t="shared" si="32"/>
        <v>48.710000000000008</v>
      </c>
      <c r="U46" s="6">
        <f t="shared" si="33"/>
        <v>1.2308749644516068</v>
      </c>
      <c r="V46" s="5">
        <f>219.1</f>
        <v>219.1</v>
      </c>
      <c r="W46" s="5">
        <f>210.98</f>
        <v>210.98</v>
      </c>
      <c r="X46" s="5">
        <f t="shared" si="34"/>
        <v>8.1200000000000045</v>
      </c>
      <c r="Y46" s="6">
        <f t="shared" si="35"/>
        <v>1.0384870603848706</v>
      </c>
      <c r="Z46" s="5">
        <f>219.1</f>
        <v>219.1</v>
      </c>
      <c r="AA46" s="5">
        <f>210.98</f>
        <v>210.98</v>
      </c>
      <c r="AB46" s="5">
        <f t="shared" si="36"/>
        <v>8.1200000000000045</v>
      </c>
      <c r="AC46" s="6">
        <f t="shared" si="37"/>
        <v>1.0384870603848706</v>
      </c>
      <c r="AD46" s="5">
        <f>219.1</f>
        <v>219.1</v>
      </c>
      <c r="AE46" s="5">
        <f>210.98</f>
        <v>210.98</v>
      </c>
      <c r="AF46" s="5">
        <f t="shared" si="38"/>
        <v>8.1200000000000045</v>
      </c>
      <c r="AG46" s="6">
        <f t="shared" si="39"/>
        <v>1.0384870603848706</v>
      </c>
      <c r="AH46" s="5">
        <f>219.1</f>
        <v>219.1</v>
      </c>
      <c r="AI46" s="5">
        <f>210.98</f>
        <v>210.98</v>
      </c>
      <c r="AJ46" s="5">
        <f t="shared" si="40"/>
        <v>8.1200000000000045</v>
      </c>
      <c r="AK46" s="6">
        <f t="shared" si="41"/>
        <v>1.0384870603848706</v>
      </c>
      <c r="AL46" s="5">
        <f>219.1</f>
        <v>219.1</v>
      </c>
      <c r="AM46" s="5">
        <f>210.98</f>
        <v>210.98</v>
      </c>
      <c r="AN46" s="5">
        <f t="shared" si="42"/>
        <v>8.1200000000000045</v>
      </c>
      <c r="AO46" s="4"/>
      <c r="AP46" s="5">
        <f>210.98</f>
        <v>210.98</v>
      </c>
      <c r="AQ46" s="5">
        <f t="shared" si="43"/>
        <v>-210.98</v>
      </c>
      <c r="AR46" s="4"/>
      <c r="AS46" s="5">
        <f>210.97</f>
        <v>210.97</v>
      </c>
      <c r="AT46" s="5">
        <f t="shared" si="44"/>
        <v>-210.97</v>
      </c>
      <c r="AU46" s="23">
        <f t="shared" si="49"/>
        <v>2199.1099999999997</v>
      </c>
      <c r="AV46" s="14">
        <f t="shared" si="46"/>
        <v>2638.9319999999998</v>
      </c>
      <c r="AW46" s="24">
        <f t="shared" si="47"/>
        <v>2531.7499999999995</v>
      </c>
      <c r="AX46" s="14">
        <f t="shared" si="48"/>
        <v>-332.63999999999987</v>
      </c>
      <c r="AY46" s="23"/>
      <c r="AZ46" s="14"/>
      <c r="BA46" s="13" t="s">
        <v>165</v>
      </c>
      <c r="BB46" s="24">
        <f>(337.08*12)*1.04</f>
        <v>4206.7584000000006</v>
      </c>
    </row>
    <row r="47" spans="1:54" x14ac:dyDescent="0.25">
      <c r="A47" s="3" t="s">
        <v>56</v>
      </c>
      <c r="B47" s="5">
        <f>113.61</f>
        <v>113.61</v>
      </c>
      <c r="C47" s="5">
        <f>113.6</f>
        <v>113.6</v>
      </c>
      <c r="D47" s="5">
        <f t="shared" ref="D47:D80" si="50">(B47)-(C47)</f>
        <v>1.0000000000005116E-2</v>
      </c>
      <c r="E47" s="6">
        <f t="shared" ref="E47:E80" si="51">IF(C47=0,"",(B47)/(C47))</f>
        <v>1.0000880281690141</v>
      </c>
      <c r="F47" s="5">
        <f>113.61</f>
        <v>113.61</v>
      </c>
      <c r="G47" s="5">
        <f>113.6</f>
        <v>113.6</v>
      </c>
      <c r="H47" s="5">
        <f t="shared" ref="H47:H80" si="52">(F47)-(G47)</f>
        <v>1.0000000000005116E-2</v>
      </c>
      <c r="I47" s="6">
        <f t="shared" ref="I47:I80" si="53">IF(G47=0,"",(F47)/(G47))</f>
        <v>1.0000880281690141</v>
      </c>
      <c r="J47" s="5">
        <f>113.61</f>
        <v>113.61</v>
      </c>
      <c r="K47" s="5">
        <f>113.6</f>
        <v>113.6</v>
      </c>
      <c r="L47" s="5">
        <f t="shared" ref="L47:L80" si="54">(J47)-(K47)</f>
        <v>1.0000000000005116E-2</v>
      </c>
      <c r="M47" s="6">
        <f t="shared" ref="M47:M80" si="55">IF(K47=0,"",(J47)/(K47))</f>
        <v>1.0000880281690141</v>
      </c>
      <c r="N47" s="5">
        <f>113.61</f>
        <v>113.61</v>
      </c>
      <c r="O47" s="5">
        <f>113.6</f>
        <v>113.6</v>
      </c>
      <c r="P47" s="5">
        <f t="shared" ref="P47:P80" si="56">(N47)-(O47)</f>
        <v>1.0000000000005116E-2</v>
      </c>
      <c r="Q47" s="6">
        <f t="shared" ref="Q47:Q80" si="57">IF(O47=0,"",(N47)/(O47))</f>
        <v>1.0000880281690141</v>
      </c>
      <c r="R47" s="5">
        <f>139.84</f>
        <v>139.84</v>
      </c>
      <c r="S47" s="5">
        <f>113.6</f>
        <v>113.6</v>
      </c>
      <c r="T47" s="5">
        <f t="shared" ref="T47:T80" si="58">(R47)-(S47)</f>
        <v>26.240000000000009</v>
      </c>
      <c r="U47" s="6">
        <f t="shared" ref="U47:U80" si="59">IF(S47=0,"",(R47)/(S47))</f>
        <v>1.2309859154929579</v>
      </c>
      <c r="V47" s="5">
        <f>117.98</f>
        <v>117.98</v>
      </c>
      <c r="W47" s="5">
        <f>113.6</f>
        <v>113.6</v>
      </c>
      <c r="X47" s="5">
        <f t="shared" ref="X47:X80" si="60">(V47)-(W47)</f>
        <v>4.3800000000000097</v>
      </c>
      <c r="Y47" s="6">
        <f t="shared" ref="Y47:Y80" si="61">IF(W47=0,"",(V47)/(W47))</f>
        <v>1.038556338028169</v>
      </c>
      <c r="Z47" s="5">
        <f>117.98</f>
        <v>117.98</v>
      </c>
      <c r="AA47" s="5">
        <f>113.6</f>
        <v>113.6</v>
      </c>
      <c r="AB47" s="5">
        <f t="shared" ref="AB47:AB80" si="62">(Z47)-(AA47)</f>
        <v>4.3800000000000097</v>
      </c>
      <c r="AC47" s="6">
        <f t="shared" ref="AC47:AC80" si="63">IF(AA47=0,"",(Z47)/(AA47))</f>
        <v>1.038556338028169</v>
      </c>
      <c r="AD47" s="5">
        <f>117.98</f>
        <v>117.98</v>
      </c>
      <c r="AE47" s="5">
        <f>113.6</f>
        <v>113.6</v>
      </c>
      <c r="AF47" s="5">
        <f t="shared" ref="AF47:AF80" si="64">(AD47)-(AE47)</f>
        <v>4.3800000000000097</v>
      </c>
      <c r="AG47" s="6">
        <f t="shared" ref="AG47:AG80" si="65">IF(AE47=0,"",(AD47)/(AE47))</f>
        <v>1.038556338028169</v>
      </c>
      <c r="AH47" s="5">
        <f>117.98</f>
        <v>117.98</v>
      </c>
      <c r="AI47" s="5">
        <f>113.6</f>
        <v>113.6</v>
      </c>
      <c r="AJ47" s="5">
        <f t="shared" ref="AJ47:AJ80" si="66">(AH47)-(AI47)</f>
        <v>4.3800000000000097</v>
      </c>
      <c r="AK47" s="6">
        <f t="shared" ref="AK47:AK80" si="67">IF(AI47=0,"",(AH47)/(AI47))</f>
        <v>1.038556338028169</v>
      </c>
      <c r="AL47" s="5">
        <f>117.98</f>
        <v>117.98</v>
      </c>
      <c r="AM47" s="5">
        <f>113.6</f>
        <v>113.6</v>
      </c>
      <c r="AN47" s="5">
        <f t="shared" ref="AN47:AN80" si="68">(AL47)-(AM47)</f>
        <v>4.3800000000000097</v>
      </c>
      <c r="AO47" s="4"/>
      <c r="AP47" s="5">
        <f>113.6</f>
        <v>113.6</v>
      </c>
      <c r="AQ47" s="5">
        <f t="shared" ref="AQ47:AQ80" si="69">(AO47)-(AP47)</f>
        <v>-113.6</v>
      </c>
      <c r="AR47" s="4"/>
      <c r="AS47" s="5">
        <f>113.65</f>
        <v>113.65</v>
      </c>
      <c r="AT47" s="5">
        <f t="shared" ref="AT47:AT80" si="70">(AR47)-(AS47)</f>
        <v>-113.65</v>
      </c>
      <c r="AU47" s="23">
        <f t="shared" si="49"/>
        <v>1184.18</v>
      </c>
      <c r="AV47" s="14">
        <f t="shared" si="46"/>
        <v>1421.0160000000001</v>
      </c>
      <c r="AW47" s="24">
        <f t="shared" ref="AW47:AW67" si="71">(((((((((((C47)+(G47))+(K47))+(O47))+(S47))+(W47))+(AA47))+(AE47))+(AI47))+(AM47))+(AP47))+(AS47)</f>
        <v>1363.25</v>
      </c>
      <c r="AX47" s="14">
        <f t="shared" ref="AX47:AX80" si="72">(AU47)-(AW47)</f>
        <v>-179.06999999999994</v>
      </c>
      <c r="AY47" s="23"/>
      <c r="AZ47" s="14"/>
      <c r="BA47" s="13"/>
      <c r="BB47" s="24"/>
    </row>
    <row r="48" spans="1:54" x14ac:dyDescent="0.25">
      <c r="A48" s="3" t="s">
        <v>57</v>
      </c>
      <c r="B48" s="5">
        <f>0</f>
        <v>0</v>
      </c>
      <c r="C48" s="4"/>
      <c r="D48" s="5">
        <f t="shared" si="50"/>
        <v>0</v>
      </c>
      <c r="E48" s="6" t="str">
        <f t="shared" si="51"/>
        <v/>
      </c>
      <c r="F48" s="5">
        <f>0</f>
        <v>0</v>
      </c>
      <c r="G48" s="4"/>
      <c r="H48" s="5">
        <f t="shared" si="52"/>
        <v>0</v>
      </c>
      <c r="I48" s="6" t="str">
        <f t="shared" si="53"/>
        <v/>
      </c>
      <c r="J48" s="5">
        <f>0</f>
        <v>0</v>
      </c>
      <c r="K48" s="4"/>
      <c r="L48" s="5">
        <f t="shared" si="54"/>
        <v>0</v>
      </c>
      <c r="M48" s="6" t="str">
        <f t="shared" si="55"/>
        <v/>
      </c>
      <c r="N48" s="5">
        <f>0</f>
        <v>0</v>
      </c>
      <c r="O48" s="4"/>
      <c r="P48" s="5">
        <f t="shared" si="56"/>
        <v>0</v>
      </c>
      <c r="Q48" s="6" t="str">
        <f t="shared" si="57"/>
        <v/>
      </c>
      <c r="R48" s="5">
        <f>0</f>
        <v>0</v>
      </c>
      <c r="S48" s="4"/>
      <c r="T48" s="5">
        <f t="shared" si="58"/>
        <v>0</v>
      </c>
      <c r="U48" s="6" t="str">
        <f t="shared" si="59"/>
        <v/>
      </c>
      <c r="V48" s="5">
        <f>0</f>
        <v>0</v>
      </c>
      <c r="W48" s="4"/>
      <c r="X48" s="5">
        <f t="shared" si="60"/>
        <v>0</v>
      </c>
      <c r="Y48" s="6" t="str">
        <f t="shared" si="61"/>
        <v/>
      </c>
      <c r="Z48" s="5">
        <f>0</f>
        <v>0</v>
      </c>
      <c r="AA48" s="4"/>
      <c r="AB48" s="5">
        <f t="shared" si="62"/>
        <v>0</v>
      </c>
      <c r="AC48" s="6" t="str">
        <f t="shared" si="63"/>
        <v/>
      </c>
      <c r="AD48" s="5">
        <f>0</f>
        <v>0</v>
      </c>
      <c r="AE48" s="4"/>
      <c r="AF48" s="5">
        <f t="shared" si="64"/>
        <v>0</v>
      </c>
      <c r="AG48" s="6" t="str">
        <f t="shared" si="65"/>
        <v/>
      </c>
      <c r="AH48" s="5">
        <f>0</f>
        <v>0</v>
      </c>
      <c r="AI48" s="4"/>
      <c r="AJ48" s="5">
        <f t="shared" si="66"/>
        <v>0</v>
      </c>
      <c r="AK48" s="6" t="str">
        <f t="shared" si="67"/>
        <v/>
      </c>
      <c r="AL48" s="5">
        <f>0</f>
        <v>0</v>
      </c>
      <c r="AM48" s="4"/>
      <c r="AN48" s="5">
        <f t="shared" si="68"/>
        <v>0</v>
      </c>
      <c r="AO48" s="4"/>
      <c r="AP48" s="4"/>
      <c r="AQ48" s="5">
        <f t="shared" si="69"/>
        <v>0</v>
      </c>
      <c r="AR48" s="4"/>
      <c r="AS48" s="4"/>
      <c r="AT48" s="5">
        <f t="shared" si="70"/>
        <v>0</v>
      </c>
      <c r="AU48" s="23">
        <f t="shared" si="49"/>
        <v>0</v>
      </c>
      <c r="AV48" s="14">
        <f t="shared" si="46"/>
        <v>0</v>
      </c>
      <c r="AW48" s="24">
        <f t="shared" si="71"/>
        <v>0</v>
      </c>
      <c r="AX48" s="14">
        <f t="shared" si="72"/>
        <v>0</v>
      </c>
      <c r="AY48" s="23"/>
      <c r="AZ48" s="14"/>
      <c r="BA48" s="13"/>
      <c r="BB48" s="24"/>
    </row>
    <row r="49" spans="1:54" ht="23.25" x14ac:dyDescent="0.25">
      <c r="A49" s="3" t="s">
        <v>58</v>
      </c>
      <c r="B49" s="7">
        <f>(((B45)+(B46))+(B47))+(B48)</f>
        <v>324.58999999999997</v>
      </c>
      <c r="C49" s="7">
        <f>(((C45)+(C46))+(C47))+(C48)</f>
        <v>324.58</v>
      </c>
      <c r="D49" s="7">
        <f t="shared" si="50"/>
        <v>9.9999999999909051E-3</v>
      </c>
      <c r="E49" s="8">
        <f t="shared" si="51"/>
        <v>1.0000308090455357</v>
      </c>
      <c r="F49" s="7">
        <f>(((F45)+(F46))+(F47))+(F48)</f>
        <v>324.58999999999997</v>
      </c>
      <c r="G49" s="7">
        <f>(((G45)+(G46))+(G47))+(G48)</f>
        <v>324.58</v>
      </c>
      <c r="H49" s="7">
        <f t="shared" si="52"/>
        <v>9.9999999999909051E-3</v>
      </c>
      <c r="I49" s="8">
        <f t="shared" si="53"/>
        <v>1.0000308090455357</v>
      </c>
      <c r="J49" s="7">
        <f>(((J45)+(J46))+(J47))+(J48)</f>
        <v>324.58999999999997</v>
      </c>
      <c r="K49" s="7">
        <f>(((K45)+(K46))+(K47))+(K48)</f>
        <v>324.58</v>
      </c>
      <c r="L49" s="7">
        <f t="shared" si="54"/>
        <v>9.9999999999909051E-3</v>
      </c>
      <c r="M49" s="8">
        <f t="shared" si="55"/>
        <v>1.0000308090455357</v>
      </c>
      <c r="N49" s="7">
        <f>(((N45)+(N46))+(N47))+(N48)</f>
        <v>324.58999999999997</v>
      </c>
      <c r="O49" s="7">
        <f>(((O45)+(O46))+(O47))+(O48)</f>
        <v>324.58</v>
      </c>
      <c r="P49" s="7">
        <f t="shared" si="56"/>
        <v>9.9999999999909051E-3</v>
      </c>
      <c r="Q49" s="8">
        <f t="shared" si="57"/>
        <v>1.0000308090455357</v>
      </c>
      <c r="R49" s="7">
        <f>(((R45)+(R46))+(R47))+(R48)</f>
        <v>399.53</v>
      </c>
      <c r="S49" s="7">
        <f>(((S45)+(S46))+(S47))+(S48)</f>
        <v>324.58</v>
      </c>
      <c r="T49" s="7">
        <f t="shared" si="58"/>
        <v>74.949999999999989</v>
      </c>
      <c r="U49" s="8">
        <f t="shared" si="59"/>
        <v>1.2309137962905909</v>
      </c>
      <c r="V49" s="7">
        <f>(((V45)+(V46))+(V47))+(V48)</f>
        <v>337.08</v>
      </c>
      <c r="W49" s="7">
        <f>(((W45)+(W46))+(W47))+(W48)</f>
        <v>324.58</v>
      </c>
      <c r="X49" s="7">
        <f t="shared" si="60"/>
        <v>12.5</v>
      </c>
      <c r="Y49" s="8">
        <f t="shared" si="61"/>
        <v>1.0385113069197116</v>
      </c>
      <c r="Z49" s="7">
        <f>(((Z45)+(Z46))+(Z47))+(Z48)</f>
        <v>337.08</v>
      </c>
      <c r="AA49" s="7">
        <f>(((AA45)+(AA46))+(AA47))+(AA48)</f>
        <v>324.58</v>
      </c>
      <c r="AB49" s="7">
        <f t="shared" si="62"/>
        <v>12.5</v>
      </c>
      <c r="AC49" s="8">
        <f t="shared" si="63"/>
        <v>1.0385113069197116</v>
      </c>
      <c r="AD49" s="7">
        <f>(((AD45)+(AD46))+(AD47))+(AD48)</f>
        <v>337.08</v>
      </c>
      <c r="AE49" s="7">
        <f>(((AE45)+(AE46))+(AE47))+(AE48)</f>
        <v>324.58</v>
      </c>
      <c r="AF49" s="7">
        <f t="shared" si="64"/>
        <v>12.5</v>
      </c>
      <c r="AG49" s="8">
        <f t="shared" si="65"/>
        <v>1.0385113069197116</v>
      </c>
      <c r="AH49" s="7">
        <f>(((AH45)+(AH46))+(AH47))+(AH48)</f>
        <v>337.08</v>
      </c>
      <c r="AI49" s="7">
        <f>(((AI45)+(AI46))+(AI47))+(AI48)</f>
        <v>324.58</v>
      </c>
      <c r="AJ49" s="7">
        <f t="shared" si="66"/>
        <v>12.5</v>
      </c>
      <c r="AK49" s="8">
        <f t="shared" si="67"/>
        <v>1.0385113069197116</v>
      </c>
      <c r="AL49" s="7">
        <f>(((AL45)+(AL46))+(AL47))+(AL48)</f>
        <v>337.08</v>
      </c>
      <c r="AM49" s="7">
        <f>(((AM45)+(AM46))+(AM47))+(AM48)</f>
        <v>324.58</v>
      </c>
      <c r="AN49" s="7">
        <f t="shared" si="68"/>
        <v>12.5</v>
      </c>
      <c r="AO49" s="7">
        <f>(((AO45)+(AO46))+(AO47))+(AO48)</f>
        <v>0</v>
      </c>
      <c r="AP49" s="7">
        <f>(((AP45)+(AP46))+(AP47))+(AP48)</f>
        <v>324.58</v>
      </c>
      <c r="AQ49" s="7">
        <f t="shared" si="69"/>
        <v>-324.58</v>
      </c>
      <c r="AR49" s="7">
        <f>(((AR45)+(AR46))+(AR47))+(AR48)</f>
        <v>0</v>
      </c>
      <c r="AS49" s="7">
        <f>(((AS45)+(AS46))+(AS47))+(AS48)</f>
        <v>324.62</v>
      </c>
      <c r="AT49" s="7">
        <f t="shared" si="70"/>
        <v>-324.62</v>
      </c>
      <c r="AU49" s="25">
        <f t="shared" si="49"/>
        <v>3383.2899999999995</v>
      </c>
      <c r="AV49" s="16">
        <f t="shared" si="46"/>
        <v>4059.9479999999994</v>
      </c>
      <c r="AW49" s="26">
        <f t="shared" si="71"/>
        <v>3894.9999999999995</v>
      </c>
      <c r="AX49" s="16">
        <f t="shared" si="72"/>
        <v>-511.71000000000004</v>
      </c>
      <c r="AY49" s="25">
        <f>BB49</f>
        <v>4206.7584000000006</v>
      </c>
      <c r="AZ49" s="18">
        <f>AY49-AW49</f>
        <v>311.75840000000107</v>
      </c>
      <c r="BA49" s="13"/>
      <c r="BB49" s="26">
        <f>SUM(BB45:BB48)</f>
        <v>4206.7584000000006</v>
      </c>
    </row>
    <row r="50" spans="1:54" x14ac:dyDescent="0.25">
      <c r="A50" s="3" t="s">
        <v>59</v>
      </c>
      <c r="B50" s="4"/>
      <c r="C50" s="4"/>
      <c r="D50" s="5">
        <f t="shared" si="50"/>
        <v>0</v>
      </c>
      <c r="E50" s="6" t="str">
        <f t="shared" si="51"/>
        <v/>
      </c>
      <c r="F50" s="4"/>
      <c r="G50" s="4"/>
      <c r="H50" s="5">
        <f t="shared" si="52"/>
        <v>0</v>
      </c>
      <c r="I50" s="6" t="str">
        <f t="shared" si="53"/>
        <v/>
      </c>
      <c r="J50" s="4"/>
      <c r="K50" s="4"/>
      <c r="L50" s="5">
        <f t="shared" si="54"/>
        <v>0</v>
      </c>
      <c r="M50" s="6" t="str">
        <f t="shared" si="55"/>
        <v/>
      </c>
      <c r="N50" s="4"/>
      <c r="O50" s="4"/>
      <c r="P50" s="5">
        <f t="shared" si="56"/>
        <v>0</v>
      </c>
      <c r="Q50" s="6" t="str">
        <f t="shared" si="57"/>
        <v/>
      </c>
      <c r="R50" s="4"/>
      <c r="S50" s="4"/>
      <c r="T50" s="5">
        <f t="shared" si="58"/>
        <v>0</v>
      </c>
      <c r="U50" s="6" t="str">
        <f t="shared" si="59"/>
        <v/>
      </c>
      <c r="V50" s="4"/>
      <c r="W50" s="4"/>
      <c r="X50" s="5">
        <f t="shared" si="60"/>
        <v>0</v>
      </c>
      <c r="Y50" s="6" t="str">
        <f t="shared" si="61"/>
        <v/>
      </c>
      <c r="Z50" s="4"/>
      <c r="AA50" s="4"/>
      <c r="AB50" s="5">
        <f t="shared" si="62"/>
        <v>0</v>
      </c>
      <c r="AC50" s="6" t="str">
        <f t="shared" si="63"/>
        <v/>
      </c>
      <c r="AD50" s="4"/>
      <c r="AE50" s="4"/>
      <c r="AF50" s="5">
        <f t="shared" si="64"/>
        <v>0</v>
      </c>
      <c r="AG50" s="6" t="str">
        <f t="shared" si="65"/>
        <v/>
      </c>
      <c r="AH50" s="4"/>
      <c r="AI50" s="4"/>
      <c r="AJ50" s="5">
        <f t="shared" si="66"/>
        <v>0</v>
      </c>
      <c r="AK50" s="6" t="str">
        <f t="shared" si="67"/>
        <v/>
      </c>
      <c r="AL50" s="4"/>
      <c r="AM50" s="4"/>
      <c r="AN50" s="5">
        <f t="shared" si="68"/>
        <v>0</v>
      </c>
      <c r="AO50" s="4"/>
      <c r="AP50" s="4"/>
      <c r="AQ50" s="5">
        <f t="shared" si="69"/>
        <v>0</v>
      </c>
      <c r="AR50" s="4"/>
      <c r="AS50" s="4"/>
      <c r="AT50" s="5">
        <f t="shared" si="70"/>
        <v>0</v>
      </c>
      <c r="AU50" s="23">
        <f t="shared" si="49"/>
        <v>0</v>
      </c>
      <c r="AV50" s="14">
        <f t="shared" si="46"/>
        <v>0</v>
      </c>
      <c r="AW50" s="24">
        <f t="shared" si="71"/>
        <v>0</v>
      </c>
      <c r="AX50" s="14">
        <f t="shared" si="72"/>
        <v>0</v>
      </c>
      <c r="AY50" s="23"/>
      <c r="AZ50" s="14"/>
      <c r="BA50" s="13"/>
      <c r="BB50" s="24"/>
    </row>
    <row r="51" spans="1:54" x14ac:dyDescent="0.25">
      <c r="A51" s="3" t="s">
        <v>60</v>
      </c>
      <c r="B51" s="5">
        <f>1086.94</f>
        <v>1086.94</v>
      </c>
      <c r="C51" s="5">
        <f>774.8</f>
        <v>774.8</v>
      </c>
      <c r="D51" s="5">
        <f t="shared" si="50"/>
        <v>312.1400000000001</v>
      </c>
      <c r="E51" s="6">
        <f t="shared" si="51"/>
        <v>1.4028652555498196</v>
      </c>
      <c r="F51" s="5">
        <f>680.25</f>
        <v>680.25</v>
      </c>
      <c r="G51" s="5">
        <f>774.8</f>
        <v>774.8</v>
      </c>
      <c r="H51" s="5">
        <f t="shared" si="52"/>
        <v>-94.549999999999955</v>
      </c>
      <c r="I51" s="6">
        <f t="shared" si="53"/>
        <v>0.87796850800206505</v>
      </c>
      <c r="J51" s="5">
        <f>666.54</f>
        <v>666.54</v>
      </c>
      <c r="K51" s="5">
        <f>774.8</f>
        <v>774.8</v>
      </c>
      <c r="L51" s="5">
        <f t="shared" si="54"/>
        <v>-108.25999999999999</v>
      </c>
      <c r="M51" s="6">
        <f t="shared" si="55"/>
        <v>0.86027361899845123</v>
      </c>
      <c r="N51" s="5">
        <f>657.4</f>
        <v>657.4</v>
      </c>
      <c r="O51" s="5">
        <f>774.8</f>
        <v>774.8</v>
      </c>
      <c r="P51" s="5">
        <f t="shared" si="56"/>
        <v>-117.39999999999998</v>
      </c>
      <c r="Q51" s="6">
        <f t="shared" si="57"/>
        <v>0.84847702632937538</v>
      </c>
      <c r="R51" s="5">
        <f>753.36</f>
        <v>753.36</v>
      </c>
      <c r="S51" s="5">
        <f>774.8</f>
        <v>774.8</v>
      </c>
      <c r="T51" s="5">
        <f t="shared" si="58"/>
        <v>-21.439999999999941</v>
      </c>
      <c r="U51" s="6">
        <f t="shared" si="59"/>
        <v>0.97232834279814151</v>
      </c>
      <c r="V51" s="5">
        <f>1141.17</f>
        <v>1141.17</v>
      </c>
      <c r="W51" s="5">
        <f>774.8</f>
        <v>774.8</v>
      </c>
      <c r="X51" s="5">
        <f t="shared" si="60"/>
        <v>366.37000000000012</v>
      </c>
      <c r="Y51" s="6">
        <f t="shared" si="61"/>
        <v>1.4728575116159011</v>
      </c>
      <c r="Z51" s="5">
        <f>693.96</f>
        <v>693.96</v>
      </c>
      <c r="AA51" s="5">
        <f>774.8</f>
        <v>774.8</v>
      </c>
      <c r="AB51" s="5">
        <f t="shared" si="62"/>
        <v>-80.839999999999918</v>
      </c>
      <c r="AC51" s="6">
        <f t="shared" si="63"/>
        <v>0.89566339700567899</v>
      </c>
      <c r="AD51" s="5">
        <f>707.67</f>
        <v>707.67</v>
      </c>
      <c r="AE51" s="5">
        <f>774.8</f>
        <v>774.8</v>
      </c>
      <c r="AF51" s="5">
        <f t="shared" si="64"/>
        <v>-67.13</v>
      </c>
      <c r="AG51" s="6">
        <f t="shared" si="65"/>
        <v>0.9133582860092927</v>
      </c>
      <c r="AH51" s="5">
        <f>648.26</f>
        <v>648.26</v>
      </c>
      <c r="AI51" s="5">
        <f>774.8</f>
        <v>774.8</v>
      </c>
      <c r="AJ51" s="5">
        <f t="shared" si="66"/>
        <v>-126.53999999999996</v>
      </c>
      <c r="AK51" s="6">
        <f t="shared" si="67"/>
        <v>0.83668043366029943</v>
      </c>
      <c r="AL51" s="5">
        <f>808.19</f>
        <v>808.19</v>
      </c>
      <c r="AM51" s="5">
        <f>774.8</f>
        <v>774.8</v>
      </c>
      <c r="AN51" s="5">
        <f t="shared" si="68"/>
        <v>33.3900000000001</v>
      </c>
      <c r="AO51" s="4"/>
      <c r="AP51" s="5">
        <f>774.8</f>
        <v>774.8</v>
      </c>
      <c r="AQ51" s="5">
        <f t="shared" si="69"/>
        <v>-774.8</v>
      </c>
      <c r="AR51" s="4"/>
      <c r="AS51" s="5">
        <f>774.8</f>
        <v>774.8</v>
      </c>
      <c r="AT51" s="5">
        <f t="shared" si="70"/>
        <v>-774.8</v>
      </c>
      <c r="AU51" s="23">
        <f t="shared" si="49"/>
        <v>7843.74</v>
      </c>
      <c r="AV51" s="14">
        <f t="shared" si="46"/>
        <v>9412.4880000000012</v>
      </c>
      <c r="AW51" s="24">
        <f t="shared" si="71"/>
        <v>9297.6</v>
      </c>
      <c r="AX51" s="14">
        <f t="shared" si="72"/>
        <v>-1453.8600000000006</v>
      </c>
      <c r="AY51" s="23"/>
      <c r="AZ51" s="14"/>
      <c r="BA51" s="13" t="s">
        <v>148</v>
      </c>
      <c r="BB51" s="24">
        <f>14400*1.04</f>
        <v>14976</v>
      </c>
    </row>
    <row r="52" spans="1:54" x14ac:dyDescent="0.25">
      <c r="A52" s="3" t="s">
        <v>61</v>
      </c>
      <c r="B52" s="5">
        <f>585.27</f>
        <v>585.27</v>
      </c>
      <c r="C52" s="5">
        <f>417.2</f>
        <v>417.2</v>
      </c>
      <c r="D52" s="5">
        <f t="shared" si="50"/>
        <v>168.07</v>
      </c>
      <c r="E52" s="6">
        <f t="shared" si="51"/>
        <v>1.4028523489932885</v>
      </c>
      <c r="F52" s="5">
        <f>366.29</f>
        <v>366.29</v>
      </c>
      <c r="G52" s="5">
        <f>417.2</f>
        <v>417.2</v>
      </c>
      <c r="H52" s="5">
        <f t="shared" si="52"/>
        <v>-50.909999999999968</v>
      </c>
      <c r="I52" s="6">
        <f t="shared" si="53"/>
        <v>0.87797219558964534</v>
      </c>
      <c r="J52" s="5">
        <f>358.91</f>
        <v>358.91</v>
      </c>
      <c r="K52" s="5">
        <f>417.2</f>
        <v>417.2</v>
      </c>
      <c r="L52" s="5">
        <f t="shared" si="54"/>
        <v>-58.289999999999964</v>
      </c>
      <c r="M52" s="6">
        <f t="shared" si="55"/>
        <v>0.86028283796740179</v>
      </c>
      <c r="N52" s="5">
        <f>353.99</f>
        <v>353.99</v>
      </c>
      <c r="O52" s="5">
        <f>417.2</f>
        <v>417.2</v>
      </c>
      <c r="P52" s="5">
        <f t="shared" si="56"/>
        <v>-63.20999999999998</v>
      </c>
      <c r="Q52" s="6">
        <f t="shared" si="57"/>
        <v>0.84848993288590613</v>
      </c>
      <c r="R52" s="5">
        <f>405.66</f>
        <v>405.66</v>
      </c>
      <c r="S52" s="5">
        <f>417.2</f>
        <v>417.2</v>
      </c>
      <c r="T52" s="5">
        <f t="shared" si="58"/>
        <v>-11.539999999999964</v>
      </c>
      <c r="U52" s="6">
        <f t="shared" si="59"/>
        <v>0.97233940556088216</v>
      </c>
      <c r="V52" s="5">
        <f>614.47</f>
        <v>614.47</v>
      </c>
      <c r="W52" s="5">
        <f>417.2</f>
        <v>417.2</v>
      </c>
      <c r="X52" s="5">
        <f t="shared" si="60"/>
        <v>197.27000000000004</v>
      </c>
      <c r="Y52" s="6">
        <f t="shared" si="61"/>
        <v>1.4728427612655801</v>
      </c>
      <c r="Z52" s="5">
        <f>373.67</f>
        <v>373.67</v>
      </c>
      <c r="AA52" s="5">
        <f>417.2</f>
        <v>417.2</v>
      </c>
      <c r="AB52" s="5">
        <f t="shared" si="62"/>
        <v>-43.529999999999973</v>
      </c>
      <c r="AC52" s="6">
        <f t="shared" si="63"/>
        <v>0.89566155321188889</v>
      </c>
      <c r="AD52" s="5">
        <f>381.05</f>
        <v>381.05</v>
      </c>
      <c r="AE52" s="5">
        <f>417.2</f>
        <v>417.2</v>
      </c>
      <c r="AF52" s="5">
        <f t="shared" si="64"/>
        <v>-36.149999999999977</v>
      </c>
      <c r="AG52" s="6">
        <f t="shared" si="65"/>
        <v>0.91335091083413233</v>
      </c>
      <c r="AH52" s="5">
        <f>349.07</f>
        <v>349.07</v>
      </c>
      <c r="AI52" s="5">
        <f>417.2</f>
        <v>417.2</v>
      </c>
      <c r="AJ52" s="5">
        <f t="shared" si="66"/>
        <v>-68.13</v>
      </c>
      <c r="AK52" s="6">
        <f t="shared" si="67"/>
        <v>0.83669702780441035</v>
      </c>
      <c r="AL52" s="5">
        <f>435.18</f>
        <v>435.18</v>
      </c>
      <c r="AM52" s="5">
        <f>417.2</f>
        <v>417.2</v>
      </c>
      <c r="AN52" s="5">
        <f t="shared" si="68"/>
        <v>17.980000000000018</v>
      </c>
      <c r="AO52" s="4"/>
      <c r="AP52" s="5">
        <f>417.2</f>
        <v>417.2</v>
      </c>
      <c r="AQ52" s="5">
        <f t="shared" si="69"/>
        <v>-417.2</v>
      </c>
      <c r="AR52" s="4"/>
      <c r="AS52" s="5">
        <f>417.2</f>
        <v>417.2</v>
      </c>
      <c r="AT52" s="5">
        <f t="shared" si="70"/>
        <v>-417.2</v>
      </c>
      <c r="AU52" s="23">
        <f t="shared" si="49"/>
        <v>4223.5600000000004</v>
      </c>
      <c r="AV52" s="14">
        <f t="shared" si="46"/>
        <v>5068.2720000000008</v>
      </c>
      <c r="AW52" s="24">
        <f t="shared" si="71"/>
        <v>5006.3999999999987</v>
      </c>
      <c r="AX52" s="14">
        <f t="shared" si="72"/>
        <v>-782.83999999999833</v>
      </c>
      <c r="AY52" s="23"/>
      <c r="AZ52" s="14"/>
      <c r="BA52" s="13"/>
      <c r="BB52" s="36" t="s">
        <v>145</v>
      </c>
    </row>
    <row r="53" spans="1:54" x14ac:dyDescent="0.25">
      <c r="A53" s="3" t="s">
        <v>62</v>
      </c>
      <c r="B53" s="5">
        <f>0</f>
        <v>0</v>
      </c>
      <c r="C53" s="4"/>
      <c r="D53" s="5">
        <f t="shared" si="50"/>
        <v>0</v>
      </c>
      <c r="E53" s="6" t="str">
        <f t="shared" si="51"/>
        <v/>
      </c>
      <c r="F53" s="5">
        <f>0</f>
        <v>0</v>
      </c>
      <c r="G53" s="4"/>
      <c r="H53" s="5">
        <f t="shared" si="52"/>
        <v>0</v>
      </c>
      <c r="I53" s="6" t="str">
        <f t="shared" si="53"/>
        <v/>
      </c>
      <c r="J53" s="5">
        <f>0</f>
        <v>0</v>
      </c>
      <c r="K53" s="4"/>
      <c r="L53" s="5">
        <f t="shared" si="54"/>
        <v>0</v>
      </c>
      <c r="M53" s="6" t="str">
        <f t="shared" si="55"/>
        <v/>
      </c>
      <c r="N53" s="5">
        <f>0</f>
        <v>0</v>
      </c>
      <c r="O53" s="4"/>
      <c r="P53" s="5">
        <f t="shared" si="56"/>
        <v>0</v>
      </c>
      <c r="Q53" s="6" t="str">
        <f t="shared" si="57"/>
        <v/>
      </c>
      <c r="R53" s="5">
        <f>0</f>
        <v>0</v>
      </c>
      <c r="S53" s="4"/>
      <c r="T53" s="5">
        <f t="shared" si="58"/>
        <v>0</v>
      </c>
      <c r="U53" s="6" t="str">
        <f t="shared" si="59"/>
        <v/>
      </c>
      <c r="V53" s="5">
        <f>0</f>
        <v>0</v>
      </c>
      <c r="W53" s="4"/>
      <c r="X53" s="5">
        <f t="shared" si="60"/>
        <v>0</v>
      </c>
      <c r="Y53" s="6" t="str">
        <f t="shared" si="61"/>
        <v/>
      </c>
      <c r="Z53" s="5">
        <f>0</f>
        <v>0</v>
      </c>
      <c r="AA53" s="4"/>
      <c r="AB53" s="5">
        <f t="shared" si="62"/>
        <v>0</v>
      </c>
      <c r="AC53" s="6" t="str">
        <f t="shared" si="63"/>
        <v/>
      </c>
      <c r="AD53" s="5">
        <f>0</f>
        <v>0</v>
      </c>
      <c r="AE53" s="4"/>
      <c r="AF53" s="5">
        <f t="shared" si="64"/>
        <v>0</v>
      </c>
      <c r="AG53" s="6" t="str">
        <f t="shared" si="65"/>
        <v/>
      </c>
      <c r="AH53" s="5">
        <f>0</f>
        <v>0</v>
      </c>
      <c r="AI53" s="4"/>
      <c r="AJ53" s="5">
        <f t="shared" si="66"/>
        <v>0</v>
      </c>
      <c r="AK53" s="6" t="str">
        <f t="shared" si="67"/>
        <v/>
      </c>
      <c r="AL53" s="5">
        <f>0</f>
        <v>0</v>
      </c>
      <c r="AM53" s="4"/>
      <c r="AN53" s="5">
        <f t="shared" si="68"/>
        <v>0</v>
      </c>
      <c r="AO53" s="4"/>
      <c r="AP53" s="4"/>
      <c r="AQ53" s="5">
        <f t="shared" si="69"/>
        <v>0</v>
      </c>
      <c r="AR53" s="4"/>
      <c r="AS53" s="4"/>
      <c r="AT53" s="5">
        <f t="shared" si="70"/>
        <v>0</v>
      </c>
      <c r="AU53" s="23">
        <f t="shared" si="49"/>
        <v>0</v>
      </c>
      <c r="AV53" s="14">
        <f t="shared" si="46"/>
        <v>0</v>
      </c>
      <c r="AW53" s="24">
        <f t="shared" si="71"/>
        <v>0</v>
      </c>
      <c r="AX53" s="14">
        <f t="shared" si="72"/>
        <v>0</v>
      </c>
      <c r="AY53" s="23"/>
      <c r="AZ53" s="14"/>
      <c r="BA53" s="13"/>
      <c r="BB53" s="24"/>
    </row>
    <row r="54" spans="1:54" x14ac:dyDescent="0.25">
      <c r="A54" s="3" t="s">
        <v>63</v>
      </c>
      <c r="B54" s="7">
        <f>(((B50)+(B51))+(B52))+(B53)</f>
        <v>1672.21</v>
      </c>
      <c r="C54" s="7">
        <f>(((C50)+(C51))+(C52))+(C53)</f>
        <v>1192</v>
      </c>
      <c r="D54" s="7">
        <f t="shared" si="50"/>
        <v>480.21000000000004</v>
      </c>
      <c r="E54" s="8">
        <f t="shared" si="51"/>
        <v>1.4028607382550335</v>
      </c>
      <c r="F54" s="7">
        <f>(((F50)+(F51))+(F52))+(F53)</f>
        <v>1046.54</v>
      </c>
      <c r="G54" s="7">
        <f>(((G50)+(G51))+(G52))+(G53)</f>
        <v>1192</v>
      </c>
      <c r="H54" s="7">
        <f t="shared" si="52"/>
        <v>-145.46000000000004</v>
      </c>
      <c r="I54" s="8">
        <f t="shared" si="53"/>
        <v>0.87796979865771807</v>
      </c>
      <c r="J54" s="7">
        <f>(((J50)+(J51))+(J52))+(J53)</f>
        <v>1025.45</v>
      </c>
      <c r="K54" s="7">
        <f>(((K50)+(K51))+(K52))+(K53)</f>
        <v>1192</v>
      </c>
      <c r="L54" s="7">
        <f t="shared" si="54"/>
        <v>-166.54999999999995</v>
      </c>
      <c r="M54" s="8">
        <f t="shared" si="55"/>
        <v>0.86027684563758389</v>
      </c>
      <c r="N54" s="7">
        <f>(((N50)+(N51))+(N52))+(N53)</f>
        <v>1011.39</v>
      </c>
      <c r="O54" s="7">
        <f>(((O50)+(O51))+(O52))+(O53)</f>
        <v>1192</v>
      </c>
      <c r="P54" s="7">
        <f t="shared" si="56"/>
        <v>-180.61</v>
      </c>
      <c r="Q54" s="8">
        <f t="shared" si="57"/>
        <v>0.84848154362416106</v>
      </c>
      <c r="R54" s="7">
        <f>(((R50)+(R51))+(R52))+(R53)</f>
        <v>1159.02</v>
      </c>
      <c r="S54" s="7">
        <f>(((S50)+(S51))+(S52))+(S53)</f>
        <v>1192</v>
      </c>
      <c r="T54" s="7">
        <f t="shared" si="58"/>
        <v>-32.980000000000018</v>
      </c>
      <c r="U54" s="8">
        <f t="shared" si="59"/>
        <v>0.97233221476510068</v>
      </c>
      <c r="V54" s="7">
        <f>(((V50)+(V51))+(V52))+(V53)</f>
        <v>1755.64</v>
      </c>
      <c r="W54" s="7">
        <f>(((W50)+(W51))+(W52))+(W53)</f>
        <v>1192</v>
      </c>
      <c r="X54" s="7">
        <f t="shared" si="60"/>
        <v>563.6400000000001</v>
      </c>
      <c r="Y54" s="8">
        <f t="shared" si="61"/>
        <v>1.4728523489932888</v>
      </c>
      <c r="Z54" s="7">
        <f>(((Z50)+(Z51))+(Z52))+(Z53)</f>
        <v>1067.6300000000001</v>
      </c>
      <c r="AA54" s="7">
        <f>(((AA50)+(AA51))+(AA52))+(AA53)</f>
        <v>1192</v>
      </c>
      <c r="AB54" s="7">
        <f t="shared" si="62"/>
        <v>-124.36999999999989</v>
      </c>
      <c r="AC54" s="8">
        <f t="shared" si="63"/>
        <v>0.89566275167785248</v>
      </c>
      <c r="AD54" s="7">
        <f>(((AD50)+(AD51))+(AD52))+(AD53)</f>
        <v>1088.72</v>
      </c>
      <c r="AE54" s="7">
        <f>(((AE50)+(AE51))+(AE52))+(AE53)</f>
        <v>1192</v>
      </c>
      <c r="AF54" s="7">
        <f t="shared" si="64"/>
        <v>-103.27999999999997</v>
      </c>
      <c r="AG54" s="8">
        <f t="shared" si="65"/>
        <v>0.91335570469798655</v>
      </c>
      <c r="AH54" s="7">
        <f>(((AH50)+(AH51))+(AH52))+(AH53)</f>
        <v>997.32999999999993</v>
      </c>
      <c r="AI54" s="7">
        <f>(((AI50)+(AI51))+(AI52))+(AI53)</f>
        <v>1192</v>
      </c>
      <c r="AJ54" s="7">
        <f t="shared" si="66"/>
        <v>-194.67000000000007</v>
      </c>
      <c r="AK54" s="8">
        <f t="shared" si="67"/>
        <v>0.83668624161073823</v>
      </c>
      <c r="AL54" s="7">
        <f>(((AL50)+(AL51))+(AL52))+(AL53)</f>
        <v>1243.3700000000001</v>
      </c>
      <c r="AM54" s="7">
        <f>(((AM50)+(AM51))+(AM52))+(AM53)</f>
        <v>1192</v>
      </c>
      <c r="AN54" s="7">
        <f t="shared" si="68"/>
        <v>51.370000000000118</v>
      </c>
      <c r="AO54" s="7">
        <f>(((AO50)+(AO51))+(AO52))+(AO53)</f>
        <v>0</v>
      </c>
      <c r="AP54" s="7">
        <f>(((AP50)+(AP51))+(AP52))+(AP53)</f>
        <v>1192</v>
      </c>
      <c r="AQ54" s="7">
        <f t="shared" si="69"/>
        <v>-1192</v>
      </c>
      <c r="AR54" s="7">
        <f>(((AR50)+(AR51))+(AR52))+(AR53)</f>
        <v>0</v>
      </c>
      <c r="AS54" s="7">
        <f>(((AS50)+(AS51))+(AS52))+(AS53)</f>
        <v>1192</v>
      </c>
      <c r="AT54" s="7">
        <f t="shared" si="70"/>
        <v>-1192</v>
      </c>
      <c r="AU54" s="25">
        <f t="shared" si="49"/>
        <v>12067.300000000001</v>
      </c>
      <c r="AV54" s="16">
        <f t="shared" si="46"/>
        <v>14480.76</v>
      </c>
      <c r="AW54" s="26">
        <f t="shared" si="71"/>
        <v>14304</v>
      </c>
      <c r="AX54" s="16">
        <f t="shared" si="72"/>
        <v>-2236.6999999999989</v>
      </c>
      <c r="AY54" s="25">
        <f>BB54</f>
        <v>14976</v>
      </c>
      <c r="AZ54" s="18">
        <f>AY54-AW54</f>
        <v>672</v>
      </c>
      <c r="BA54" s="13"/>
      <c r="BB54" s="26">
        <f>BB51</f>
        <v>14976</v>
      </c>
    </row>
    <row r="55" spans="1:54" x14ac:dyDescent="0.25">
      <c r="A55" s="3" t="s">
        <v>64</v>
      </c>
      <c r="B55" s="4"/>
      <c r="C55" s="4"/>
      <c r="D55" s="5">
        <f t="shared" si="50"/>
        <v>0</v>
      </c>
      <c r="E55" s="6" t="str">
        <f t="shared" si="51"/>
        <v/>
      </c>
      <c r="F55" s="4"/>
      <c r="G55" s="4"/>
      <c r="H55" s="5">
        <f t="shared" si="52"/>
        <v>0</v>
      </c>
      <c r="I55" s="6" t="str">
        <f t="shared" si="53"/>
        <v/>
      </c>
      <c r="J55" s="4"/>
      <c r="K55" s="4"/>
      <c r="L55" s="5">
        <f t="shared" si="54"/>
        <v>0</v>
      </c>
      <c r="M55" s="6" t="str">
        <f t="shared" si="55"/>
        <v/>
      </c>
      <c r="N55" s="4"/>
      <c r="O55" s="4"/>
      <c r="P55" s="5">
        <f t="shared" si="56"/>
        <v>0</v>
      </c>
      <c r="Q55" s="6" t="str">
        <f t="shared" si="57"/>
        <v/>
      </c>
      <c r="R55" s="4"/>
      <c r="S55" s="4"/>
      <c r="T55" s="5">
        <f t="shared" si="58"/>
        <v>0</v>
      </c>
      <c r="U55" s="6" t="str">
        <f t="shared" si="59"/>
        <v/>
      </c>
      <c r="V55" s="4"/>
      <c r="W55" s="4"/>
      <c r="X55" s="5">
        <f t="shared" si="60"/>
        <v>0</v>
      </c>
      <c r="Y55" s="6" t="str">
        <f t="shared" si="61"/>
        <v/>
      </c>
      <c r="Z55" s="4"/>
      <c r="AA55" s="4"/>
      <c r="AB55" s="5">
        <f t="shared" si="62"/>
        <v>0</v>
      </c>
      <c r="AC55" s="6" t="str">
        <f t="shared" si="63"/>
        <v/>
      </c>
      <c r="AD55" s="4"/>
      <c r="AE55" s="4"/>
      <c r="AF55" s="5">
        <f t="shared" si="64"/>
        <v>0</v>
      </c>
      <c r="AG55" s="6" t="str">
        <f t="shared" si="65"/>
        <v/>
      </c>
      <c r="AH55" s="4"/>
      <c r="AI55" s="4"/>
      <c r="AJ55" s="5">
        <f t="shared" si="66"/>
        <v>0</v>
      </c>
      <c r="AK55" s="6" t="str">
        <f t="shared" si="67"/>
        <v/>
      </c>
      <c r="AL55" s="4"/>
      <c r="AM55" s="4"/>
      <c r="AN55" s="5">
        <f t="shared" si="68"/>
        <v>0</v>
      </c>
      <c r="AO55" s="4"/>
      <c r="AP55" s="4"/>
      <c r="AQ55" s="5">
        <f t="shared" si="69"/>
        <v>0</v>
      </c>
      <c r="AR55" s="4"/>
      <c r="AS55" s="4"/>
      <c r="AT55" s="5">
        <f t="shared" si="70"/>
        <v>0</v>
      </c>
      <c r="AU55" s="23">
        <f t="shared" si="49"/>
        <v>0</v>
      </c>
      <c r="AV55" s="14">
        <f t="shared" si="46"/>
        <v>0</v>
      </c>
      <c r="AW55" s="24">
        <f t="shared" si="71"/>
        <v>0</v>
      </c>
      <c r="AX55" s="14">
        <f t="shared" si="72"/>
        <v>0</v>
      </c>
      <c r="AY55" s="23"/>
      <c r="AZ55" s="14"/>
      <c r="BA55" s="13"/>
      <c r="BB55" s="24"/>
    </row>
    <row r="56" spans="1:54" x14ac:dyDescent="0.25">
      <c r="A56" s="3" t="s">
        <v>65</v>
      </c>
      <c r="B56" s="5">
        <f>234.73</f>
        <v>234.73</v>
      </c>
      <c r="C56" s="5">
        <f>268.94</f>
        <v>268.94</v>
      </c>
      <c r="D56" s="5">
        <f t="shared" si="50"/>
        <v>-34.210000000000008</v>
      </c>
      <c r="E56" s="6">
        <f t="shared" si="51"/>
        <v>0.87279690637316876</v>
      </c>
      <c r="F56" s="5">
        <f>244.17</f>
        <v>244.17</v>
      </c>
      <c r="G56" s="5">
        <f>268.94</f>
        <v>268.94</v>
      </c>
      <c r="H56" s="5">
        <f t="shared" si="52"/>
        <v>-24.77000000000001</v>
      </c>
      <c r="I56" s="6">
        <f t="shared" si="53"/>
        <v>0.90789767234327357</v>
      </c>
      <c r="J56" s="5">
        <f>366.25</f>
        <v>366.25</v>
      </c>
      <c r="K56" s="5">
        <f>268.94</f>
        <v>268.94</v>
      </c>
      <c r="L56" s="5">
        <f t="shared" si="54"/>
        <v>97.31</v>
      </c>
      <c r="M56" s="6">
        <f t="shared" si="55"/>
        <v>1.3618279170075109</v>
      </c>
      <c r="N56" s="5">
        <f>244.17</f>
        <v>244.17</v>
      </c>
      <c r="O56" s="5">
        <f>268.94</f>
        <v>268.94</v>
      </c>
      <c r="P56" s="5">
        <f t="shared" si="56"/>
        <v>-24.77000000000001</v>
      </c>
      <c r="Q56" s="6">
        <f t="shared" si="57"/>
        <v>0.90789767234327357</v>
      </c>
      <c r="R56" s="5">
        <f>244.17</f>
        <v>244.17</v>
      </c>
      <c r="S56" s="5">
        <f>268.94</f>
        <v>268.94</v>
      </c>
      <c r="T56" s="5">
        <f t="shared" si="58"/>
        <v>-24.77000000000001</v>
      </c>
      <c r="U56" s="6">
        <f t="shared" si="59"/>
        <v>0.90789767234327357</v>
      </c>
      <c r="V56" s="5">
        <f>244.17</f>
        <v>244.17</v>
      </c>
      <c r="W56" s="5">
        <f>268.94</f>
        <v>268.94</v>
      </c>
      <c r="X56" s="5">
        <f t="shared" si="60"/>
        <v>-24.77000000000001</v>
      </c>
      <c r="Y56" s="6">
        <f t="shared" si="61"/>
        <v>0.90789767234327357</v>
      </c>
      <c r="Z56" s="5">
        <f>244.17</f>
        <v>244.17</v>
      </c>
      <c r="AA56" s="5">
        <f>268.94</f>
        <v>268.94</v>
      </c>
      <c r="AB56" s="5">
        <f t="shared" si="62"/>
        <v>-24.77000000000001</v>
      </c>
      <c r="AC56" s="6">
        <f t="shared" si="63"/>
        <v>0.90789767234327357</v>
      </c>
      <c r="AD56" s="5">
        <f>244.17</f>
        <v>244.17</v>
      </c>
      <c r="AE56" s="5">
        <f>268.94</f>
        <v>268.94</v>
      </c>
      <c r="AF56" s="5">
        <f t="shared" si="64"/>
        <v>-24.77000000000001</v>
      </c>
      <c r="AG56" s="6">
        <f t="shared" si="65"/>
        <v>0.90789767234327357</v>
      </c>
      <c r="AH56" s="5">
        <f>366.25</f>
        <v>366.25</v>
      </c>
      <c r="AI56" s="5">
        <f>268.94</f>
        <v>268.94</v>
      </c>
      <c r="AJ56" s="5">
        <f t="shared" si="66"/>
        <v>97.31</v>
      </c>
      <c r="AK56" s="6">
        <f t="shared" si="67"/>
        <v>1.3618279170075109</v>
      </c>
      <c r="AL56" s="5">
        <f>244.17</f>
        <v>244.17</v>
      </c>
      <c r="AM56" s="5">
        <f>268.94</f>
        <v>268.94</v>
      </c>
      <c r="AN56" s="5">
        <f t="shared" si="68"/>
        <v>-24.77000000000001</v>
      </c>
      <c r="AO56" s="4"/>
      <c r="AP56" s="5">
        <f>268.94</f>
        <v>268.94</v>
      </c>
      <c r="AQ56" s="5">
        <f t="shared" si="69"/>
        <v>-268.94</v>
      </c>
      <c r="AR56" s="4"/>
      <c r="AS56" s="5">
        <f>268.91</f>
        <v>268.91000000000003</v>
      </c>
      <c r="AT56" s="5">
        <f t="shared" si="70"/>
        <v>-268.91000000000003</v>
      </c>
      <c r="AU56" s="23">
        <f t="shared" si="49"/>
        <v>2676.42</v>
      </c>
      <c r="AV56" s="14">
        <f t="shared" si="46"/>
        <v>3211.7039999999997</v>
      </c>
      <c r="AW56" s="24">
        <f t="shared" si="71"/>
        <v>3227.25</v>
      </c>
      <c r="AX56" s="14">
        <f t="shared" si="72"/>
        <v>-550.82999999999993</v>
      </c>
      <c r="AY56" s="23"/>
      <c r="AZ56" s="14"/>
      <c r="BA56" s="13" t="s">
        <v>171</v>
      </c>
      <c r="BB56" s="24">
        <f>BB19*0.04</f>
        <v>6706.5689599999996</v>
      </c>
    </row>
    <row r="57" spans="1:54" x14ac:dyDescent="0.25">
      <c r="A57" s="3" t="s">
        <v>66</v>
      </c>
      <c r="B57" s="5">
        <f>126.4</f>
        <v>126.4</v>
      </c>
      <c r="C57" s="5">
        <f>144.81</f>
        <v>144.81</v>
      </c>
      <c r="D57" s="5">
        <f t="shared" si="50"/>
        <v>-18.409999999999997</v>
      </c>
      <c r="E57" s="6">
        <f t="shared" si="51"/>
        <v>0.87286789586354541</v>
      </c>
      <c r="F57" s="5">
        <f>131.47</f>
        <v>131.47</v>
      </c>
      <c r="G57" s="5">
        <f>144.81</f>
        <v>144.81</v>
      </c>
      <c r="H57" s="5">
        <f t="shared" si="52"/>
        <v>-13.340000000000003</v>
      </c>
      <c r="I57" s="6">
        <f t="shared" si="53"/>
        <v>0.90787929010427459</v>
      </c>
      <c r="J57" s="5">
        <f>197.21</f>
        <v>197.21</v>
      </c>
      <c r="K57" s="5">
        <f>144.81</f>
        <v>144.81</v>
      </c>
      <c r="L57" s="5">
        <f t="shared" si="54"/>
        <v>52.400000000000006</v>
      </c>
      <c r="M57" s="6">
        <f t="shared" si="55"/>
        <v>1.3618534631586217</v>
      </c>
      <c r="N57" s="5">
        <f>131.47</f>
        <v>131.47</v>
      </c>
      <c r="O57" s="5">
        <f>144.81</f>
        <v>144.81</v>
      </c>
      <c r="P57" s="5">
        <f t="shared" si="56"/>
        <v>-13.340000000000003</v>
      </c>
      <c r="Q57" s="6">
        <f t="shared" si="57"/>
        <v>0.90787929010427459</v>
      </c>
      <c r="R57" s="5">
        <f>131.47</f>
        <v>131.47</v>
      </c>
      <c r="S57" s="5">
        <f>144.81</f>
        <v>144.81</v>
      </c>
      <c r="T57" s="5">
        <f t="shared" si="58"/>
        <v>-13.340000000000003</v>
      </c>
      <c r="U57" s="6">
        <f t="shared" si="59"/>
        <v>0.90787929010427459</v>
      </c>
      <c r="V57" s="5">
        <f>131.47</f>
        <v>131.47</v>
      </c>
      <c r="W57" s="5">
        <f>144.81</f>
        <v>144.81</v>
      </c>
      <c r="X57" s="5">
        <f t="shared" si="60"/>
        <v>-13.340000000000003</v>
      </c>
      <c r="Y57" s="6">
        <f t="shared" si="61"/>
        <v>0.90787929010427459</v>
      </c>
      <c r="Z57" s="5">
        <f>131.47</f>
        <v>131.47</v>
      </c>
      <c r="AA57" s="5">
        <f>144.81</f>
        <v>144.81</v>
      </c>
      <c r="AB57" s="5">
        <f t="shared" si="62"/>
        <v>-13.340000000000003</v>
      </c>
      <c r="AC57" s="6">
        <f t="shared" si="63"/>
        <v>0.90787929010427459</v>
      </c>
      <c r="AD57" s="5">
        <f>131.47</f>
        <v>131.47</v>
      </c>
      <c r="AE57" s="5">
        <f>144.81</f>
        <v>144.81</v>
      </c>
      <c r="AF57" s="5">
        <f t="shared" si="64"/>
        <v>-13.340000000000003</v>
      </c>
      <c r="AG57" s="6">
        <f t="shared" si="65"/>
        <v>0.90787929010427459</v>
      </c>
      <c r="AH57" s="5">
        <f>197.21</f>
        <v>197.21</v>
      </c>
      <c r="AI57" s="5">
        <f>144.81</f>
        <v>144.81</v>
      </c>
      <c r="AJ57" s="5">
        <f t="shared" si="66"/>
        <v>52.400000000000006</v>
      </c>
      <c r="AK57" s="6">
        <f t="shared" si="67"/>
        <v>1.3618534631586217</v>
      </c>
      <c r="AL57" s="5">
        <f>131.47</f>
        <v>131.47</v>
      </c>
      <c r="AM57" s="5">
        <f>144.81</f>
        <v>144.81</v>
      </c>
      <c r="AN57" s="5">
        <f t="shared" si="68"/>
        <v>-13.340000000000003</v>
      </c>
      <c r="AO57" s="4"/>
      <c r="AP57" s="5">
        <f>144.81</f>
        <v>144.81</v>
      </c>
      <c r="AQ57" s="5">
        <f t="shared" si="69"/>
        <v>-144.81</v>
      </c>
      <c r="AR57" s="4"/>
      <c r="AS57" s="5">
        <f>144.84</f>
        <v>144.84</v>
      </c>
      <c r="AT57" s="5">
        <f t="shared" si="70"/>
        <v>-144.84</v>
      </c>
      <c r="AU57" s="23">
        <f t="shared" si="49"/>
        <v>1441.1100000000001</v>
      </c>
      <c r="AV57" s="14">
        <f t="shared" si="46"/>
        <v>1729.3320000000003</v>
      </c>
      <c r="AW57" s="24">
        <f t="shared" si="71"/>
        <v>1737.7499999999995</v>
      </c>
      <c r="AX57" s="14">
        <f t="shared" si="72"/>
        <v>-296.63999999999942</v>
      </c>
      <c r="AY57" s="23"/>
      <c r="AZ57" s="14"/>
      <c r="BA57" s="13" t="s">
        <v>172</v>
      </c>
      <c r="BB57" s="24">
        <v>590</v>
      </c>
    </row>
    <row r="58" spans="1:54" x14ac:dyDescent="0.25">
      <c r="A58" s="3" t="s">
        <v>67</v>
      </c>
      <c r="B58" s="5">
        <f>0</f>
        <v>0</v>
      </c>
      <c r="C58" s="4"/>
      <c r="D58" s="5">
        <f t="shared" si="50"/>
        <v>0</v>
      </c>
      <c r="E58" s="6" t="str">
        <f t="shared" si="51"/>
        <v/>
      </c>
      <c r="F58" s="5">
        <f>0</f>
        <v>0</v>
      </c>
      <c r="G58" s="4"/>
      <c r="H58" s="5">
        <f t="shared" si="52"/>
        <v>0</v>
      </c>
      <c r="I58" s="6" t="str">
        <f t="shared" si="53"/>
        <v/>
      </c>
      <c r="J58" s="5">
        <f>0</f>
        <v>0</v>
      </c>
      <c r="K58" s="4"/>
      <c r="L58" s="5">
        <f t="shared" si="54"/>
        <v>0</v>
      </c>
      <c r="M58" s="6" t="str">
        <f t="shared" si="55"/>
        <v/>
      </c>
      <c r="N58" s="5">
        <f>0</f>
        <v>0</v>
      </c>
      <c r="O58" s="4"/>
      <c r="P58" s="5">
        <f t="shared" si="56"/>
        <v>0</v>
      </c>
      <c r="Q58" s="6" t="str">
        <f t="shared" si="57"/>
        <v/>
      </c>
      <c r="R58" s="5">
        <f>0</f>
        <v>0</v>
      </c>
      <c r="S58" s="4"/>
      <c r="T58" s="5">
        <f t="shared" si="58"/>
        <v>0</v>
      </c>
      <c r="U58" s="6" t="str">
        <f t="shared" si="59"/>
        <v/>
      </c>
      <c r="V58" s="5">
        <f>0</f>
        <v>0</v>
      </c>
      <c r="W58" s="4"/>
      <c r="X58" s="5">
        <f t="shared" si="60"/>
        <v>0</v>
      </c>
      <c r="Y58" s="6" t="str">
        <f t="shared" si="61"/>
        <v/>
      </c>
      <c r="Z58" s="5">
        <f>0</f>
        <v>0</v>
      </c>
      <c r="AA58" s="4"/>
      <c r="AB58" s="5">
        <f t="shared" si="62"/>
        <v>0</v>
      </c>
      <c r="AC58" s="6" t="str">
        <f t="shared" si="63"/>
        <v/>
      </c>
      <c r="AD58" s="5">
        <f>0</f>
        <v>0</v>
      </c>
      <c r="AE58" s="4"/>
      <c r="AF58" s="5">
        <f t="shared" si="64"/>
        <v>0</v>
      </c>
      <c r="AG58" s="6" t="str">
        <f t="shared" si="65"/>
        <v/>
      </c>
      <c r="AH58" s="5">
        <f>0</f>
        <v>0</v>
      </c>
      <c r="AI58" s="4"/>
      <c r="AJ58" s="5">
        <f t="shared" si="66"/>
        <v>0</v>
      </c>
      <c r="AK58" s="6" t="str">
        <f t="shared" si="67"/>
        <v/>
      </c>
      <c r="AL58" s="5">
        <f>0</f>
        <v>0</v>
      </c>
      <c r="AM58" s="4"/>
      <c r="AN58" s="5">
        <f t="shared" si="68"/>
        <v>0</v>
      </c>
      <c r="AO58" s="4"/>
      <c r="AP58" s="4"/>
      <c r="AQ58" s="5">
        <f t="shared" si="69"/>
        <v>0</v>
      </c>
      <c r="AR58" s="4"/>
      <c r="AS58" s="4"/>
      <c r="AT58" s="5">
        <f t="shared" si="70"/>
        <v>0</v>
      </c>
      <c r="AU58" s="23">
        <f t="shared" si="49"/>
        <v>0</v>
      </c>
      <c r="AV58" s="14">
        <f t="shared" si="46"/>
        <v>0</v>
      </c>
      <c r="AW58" s="24">
        <f t="shared" si="71"/>
        <v>0</v>
      </c>
      <c r="AX58" s="14">
        <f t="shared" si="72"/>
        <v>0</v>
      </c>
      <c r="AY58" s="23"/>
      <c r="AZ58" s="14"/>
      <c r="BA58" s="13"/>
      <c r="BB58" s="24"/>
    </row>
    <row r="59" spans="1:54" x14ac:dyDescent="0.25">
      <c r="A59" s="3" t="s">
        <v>68</v>
      </c>
      <c r="B59" s="7">
        <f>(((B55)+(B56))+(B57))+(B58)</f>
        <v>361.13</v>
      </c>
      <c r="C59" s="7">
        <f>(((C55)+(C56))+(C57))+(C58)</f>
        <v>413.75</v>
      </c>
      <c r="D59" s="7">
        <f t="shared" si="50"/>
        <v>-52.620000000000005</v>
      </c>
      <c r="E59" s="8">
        <f t="shared" si="51"/>
        <v>0.87282175226586101</v>
      </c>
      <c r="F59" s="7">
        <f>(((F55)+(F56))+(F57))+(F58)</f>
        <v>375.64</v>
      </c>
      <c r="G59" s="7">
        <f>(((G55)+(G56))+(G57))+(G58)</f>
        <v>413.75</v>
      </c>
      <c r="H59" s="7">
        <f t="shared" si="52"/>
        <v>-38.110000000000014</v>
      </c>
      <c r="I59" s="8">
        <f t="shared" si="53"/>
        <v>0.90789123867069488</v>
      </c>
      <c r="J59" s="7">
        <f>(((J55)+(J56))+(J57))+(J58)</f>
        <v>563.46</v>
      </c>
      <c r="K59" s="7">
        <f>(((K55)+(K56))+(K57))+(K58)</f>
        <v>413.75</v>
      </c>
      <c r="L59" s="7">
        <f t="shared" si="54"/>
        <v>149.71000000000004</v>
      </c>
      <c r="M59" s="8">
        <f t="shared" si="55"/>
        <v>1.3618368580060425</v>
      </c>
      <c r="N59" s="7">
        <f>(((N55)+(N56))+(N57))+(N58)</f>
        <v>375.64</v>
      </c>
      <c r="O59" s="7">
        <f>(((O55)+(O56))+(O57))+(O58)</f>
        <v>413.75</v>
      </c>
      <c r="P59" s="7">
        <f t="shared" si="56"/>
        <v>-38.110000000000014</v>
      </c>
      <c r="Q59" s="8">
        <f t="shared" si="57"/>
        <v>0.90789123867069488</v>
      </c>
      <c r="R59" s="7">
        <f>(((R55)+(R56))+(R57))+(R58)</f>
        <v>375.64</v>
      </c>
      <c r="S59" s="7">
        <f>(((S55)+(S56))+(S57))+(S58)</f>
        <v>413.75</v>
      </c>
      <c r="T59" s="7">
        <f t="shared" si="58"/>
        <v>-38.110000000000014</v>
      </c>
      <c r="U59" s="8">
        <f t="shared" si="59"/>
        <v>0.90789123867069488</v>
      </c>
      <c r="V59" s="7">
        <f>(((V55)+(V56))+(V57))+(V58)</f>
        <v>375.64</v>
      </c>
      <c r="W59" s="7">
        <f>(((W55)+(W56))+(W57))+(W58)</f>
        <v>413.75</v>
      </c>
      <c r="X59" s="7">
        <f t="shared" si="60"/>
        <v>-38.110000000000014</v>
      </c>
      <c r="Y59" s="8">
        <f t="shared" si="61"/>
        <v>0.90789123867069488</v>
      </c>
      <c r="Z59" s="7">
        <f>(((Z55)+(Z56))+(Z57))+(Z58)</f>
        <v>375.64</v>
      </c>
      <c r="AA59" s="7">
        <f>(((AA55)+(AA56))+(AA57))+(AA58)</f>
        <v>413.75</v>
      </c>
      <c r="AB59" s="7">
        <f t="shared" si="62"/>
        <v>-38.110000000000014</v>
      </c>
      <c r="AC59" s="8">
        <f t="shared" si="63"/>
        <v>0.90789123867069488</v>
      </c>
      <c r="AD59" s="7">
        <f>(((AD55)+(AD56))+(AD57))+(AD58)</f>
        <v>375.64</v>
      </c>
      <c r="AE59" s="7">
        <f>(((AE55)+(AE56))+(AE57))+(AE58)</f>
        <v>413.75</v>
      </c>
      <c r="AF59" s="7">
        <f t="shared" si="64"/>
        <v>-38.110000000000014</v>
      </c>
      <c r="AG59" s="8">
        <f t="shared" si="65"/>
        <v>0.90789123867069488</v>
      </c>
      <c r="AH59" s="7">
        <f>(((AH55)+(AH56))+(AH57))+(AH58)</f>
        <v>563.46</v>
      </c>
      <c r="AI59" s="7">
        <f>(((AI55)+(AI56))+(AI57))+(AI58)</f>
        <v>413.75</v>
      </c>
      <c r="AJ59" s="7">
        <f t="shared" si="66"/>
        <v>149.71000000000004</v>
      </c>
      <c r="AK59" s="8">
        <f t="shared" si="67"/>
        <v>1.3618368580060425</v>
      </c>
      <c r="AL59" s="7">
        <f>(((AL55)+(AL56))+(AL57))+(AL58)</f>
        <v>375.64</v>
      </c>
      <c r="AM59" s="7">
        <f>(((AM55)+(AM56))+(AM57))+(AM58)</f>
        <v>413.75</v>
      </c>
      <c r="AN59" s="7">
        <f t="shared" si="68"/>
        <v>-38.110000000000014</v>
      </c>
      <c r="AO59" s="7">
        <f>(((AO55)+(AO56))+(AO57))+(AO58)</f>
        <v>0</v>
      </c>
      <c r="AP59" s="7">
        <f>(((AP55)+(AP56))+(AP57))+(AP58)</f>
        <v>413.75</v>
      </c>
      <c r="AQ59" s="7">
        <f t="shared" si="69"/>
        <v>-413.75</v>
      </c>
      <c r="AR59" s="7">
        <f>(((AR55)+(AR56))+(AR57))+(AR58)</f>
        <v>0</v>
      </c>
      <c r="AS59" s="7">
        <f>(((AS55)+(AS56))+(AS57))+(AS58)</f>
        <v>413.75</v>
      </c>
      <c r="AT59" s="7">
        <f t="shared" si="70"/>
        <v>-413.75</v>
      </c>
      <c r="AU59" s="25">
        <f t="shared" si="49"/>
        <v>4117.53</v>
      </c>
      <c r="AV59" s="16">
        <f t="shared" si="46"/>
        <v>4941.0360000000001</v>
      </c>
      <c r="AW59" s="26">
        <f t="shared" si="71"/>
        <v>4965</v>
      </c>
      <c r="AX59" s="16">
        <f t="shared" si="72"/>
        <v>-847.47000000000025</v>
      </c>
      <c r="AY59" s="25">
        <f>BB59</f>
        <v>7296.5689599999996</v>
      </c>
      <c r="AZ59" s="18">
        <f>AY59-AW59</f>
        <v>2331.5689599999996</v>
      </c>
      <c r="BA59" s="13"/>
      <c r="BB59" s="26">
        <f>SUM(BB56:BB58)</f>
        <v>7296.5689599999996</v>
      </c>
    </row>
    <row r="60" spans="1:54" x14ac:dyDescent="0.25">
      <c r="A60" s="3" t="s">
        <v>69</v>
      </c>
      <c r="B60" s="4"/>
      <c r="C60" s="4"/>
      <c r="D60" s="5">
        <f t="shared" si="50"/>
        <v>0</v>
      </c>
      <c r="E60" s="6" t="str">
        <f t="shared" si="51"/>
        <v/>
      </c>
      <c r="F60" s="4"/>
      <c r="G60" s="4"/>
      <c r="H60" s="5">
        <f t="shared" si="52"/>
        <v>0</v>
      </c>
      <c r="I60" s="6" t="str">
        <f t="shared" si="53"/>
        <v/>
      </c>
      <c r="J60" s="4"/>
      <c r="K60" s="4"/>
      <c r="L60" s="5">
        <f t="shared" si="54"/>
        <v>0</v>
      </c>
      <c r="M60" s="6" t="str">
        <f t="shared" si="55"/>
        <v/>
      </c>
      <c r="N60" s="4"/>
      <c r="O60" s="4"/>
      <c r="P60" s="5">
        <f t="shared" si="56"/>
        <v>0</v>
      </c>
      <c r="Q60" s="6" t="str">
        <f t="shared" si="57"/>
        <v/>
      </c>
      <c r="R60" s="4"/>
      <c r="S60" s="4"/>
      <c r="T60" s="5">
        <f t="shared" si="58"/>
        <v>0</v>
      </c>
      <c r="U60" s="6" t="str">
        <f t="shared" si="59"/>
        <v/>
      </c>
      <c r="V60" s="4"/>
      <c r="W60" s="4"/>
      <c r="X60" s="5">
        <f t="shared" si="60"/>
        <v>0</v>
      </c>
      <c r="Y60" s="6" t="str">
        <f t="shared" si="61"/>
        <v/>
      </c>
      <c r="Z60" s="4"/>
      <c r="AA60" s="4"/>
      <c r="AB60" s="5">
        <f t="shared" si="62"/>
        <v>0</v>
      </c>
      <c r="AC60" s="6" t="str">
        <f t="shared" si="63"/>
        <v/>
      </c>
      <c r="AD60" s="4"/>
      <c r="AE60" s="4"/>
      <c r="AF60" s="5">
        <f t="shared" si="64"/>
        <v>0</v>
      </c>
      <c r="AG60" s="6" t="str">
        <f t="shared" si="65"/>
        <v/>
      </c>
      <c r="AH60" s="4"/>
      <c r="AI60" s="4"/>
      <c r="AJ60" s="5">
        <f t="shared" si="66"/>
        <v>0</v>
      </c>
      <c r="AK60" s="6" t="str">
        <f t="shared" si="67"/>
        <v/>
      </c>
      <c r="AL60" s="4"/>
      <c r="AM60" s="4"/>
      <c r="AN60" s="5">
        <f t="shared" si="68"/>
        <v>0</v>
      </c>
      <c r="AO60" s="4"/>
      <c r="AP60" s="4"/>
      <c r="AQ60" s="5">
        <f t="shared" si="69"/>
        <v>0</v>
      </c>
      <c r="AR60" s="4"/>
      <c r="AS60" s="4"/>
      <c r="AT60" s="5">
        <f t="shared" si="70"/>
        <v>0</v>
      </c>
      <c r="AU60" s="23">
        <f t="shared" si="49"/>
        <v>0</v>
      </c>
      <c r="AV60" s="14">
        <f t="shared" si="46"/>
        <v>0</v>
      </c>
      <c r="AW60" s="24">
        <f t="shared" si="71"/>
        <v>0</v>
      </c>
      <c r="AX60" s="14">
        <f t="shared" si="72"/>
        <v>0</v>
      </c>
      <c r="AY60" s="23"/>
      <c r="AZ60" s="14"/>
      <c r="BA60" s="13"/>
      <c r="BB60" s="24"/>
    </row>
    <row r="61" spans="1:54" x14ac:dyDescent="0.25">
      <c r="A61" s="3" t="s">
        <v>70</v>
      </c>
      <c r="B61" s="5">
        <f>106.6</f>
        <v>106.6</v>
      </c>
      <c r="C61" s="5">
        <f>90.35</f>
        <v>90.35</v>
      </c>
      <c r="D61" s="5">
        <f t="shared" si="50"/>
        <v>16.25</v>
      </c>
      <c r="E61" s="6">
        <f t="shared" si="51"/>
        <v>1.1798561151079137</v>
      </c>
      <c r="F61" s="5">
        <f>106.6</f>
        <v>106.6</v>
      </c>
      <c r="G61" s="5">
        <f>90.35</f>
        <v>90.35</v>
      </c>
      <c r="H61" s="5">
        <f t="shared" si="52"/>
        <v>16.25</v>
      </c>
      <c r="I61" s="6">
        <f t="shared" si="53"/>
        <v>1.1798561151079137</v>
      </c>
      <c r="J61" s="5">
        <f>106.6</f>
        <v>106.6</v>
      </c>
      <c r="K61" s="5">
        <f>90.35</f>
        <v>90.35</v>
      </c>
      <c r="L61" s="5">
        <f t="shared" si="54"/>
        <v>16.25</v>
      </c>
      <c r="M61" s="6">
        <f t="shared" si="55"/>
        <v>1.1798561151079137</v>
      </c>
      <c r="N61" s="5">
        <f>106.6</f>
        <v>106.6</v>
      </c>
      <c r="O61" s="5">
        <f>90.35</f>
        <v>90.35</v>
      </c>
      <c r="P61" s="5">
        <f t="shared" si="56"/>
        <v>16.25</v>
      </c>
      <c r="Q61" s="6">
        <f t="shared" si="57"/>
        <v>1.1798561151079137</v>
      </c>
      <c r="R61" s="5">
        <f>127.4</f>
        <v>127.4</v>
      </c>
      <c r="S61" s="5">
        <f>90.35</f>
        <v>90.35</v>
      </c>
      <c r="T61" s="5">
        <f t="shared" si="58"/>
        <v>37.050000000000011</v>
      </c>
      <c r="U61" s="6">
        <f t="shared" si="59"/>
        <v>1.4100719424460433</v>
      </c>
      <c r="V61" s="5">
        <f>127.4</f>
        <v>127.4</v>
      </c>
      <c r="W61" s="5">
        <f>90.35</f>
        <v>90.35</v>
      </c>
      <c r="X61" s="5">
        <f t="shared" si="60"/>
        <v>37.050000000000011</v>
      </c>
      <c r="Y61" s="6">
        <f t="shared" si="61"/>
        <v>1.4100719424460433</v>
      </c>
      <c r="Z61" s="5">
        <f>127.4</f>
        <v>127.4</v>
      </c>
      <c r="AA61" s="5">
        <f>90.35</f>
        <v>90.35</v>
      </c>
      <c r="AB61" s="5">
        <f t="shared" si="62"/>
        <v>37.050000000000011</v>
      </c>
      <c r="AC61" s="6">
        <f t="shared" si="63"/>
        <v>1.4100719424460433</v>
      </c>
      <c r="AD61" s="5">
        <f>127.4</f>
        <v>127.4</v>
      </c>
      <c r="AE61" s="5">
        <f>90.35</f>
        <v>90.35</v>
      </c>
      <c r="AF61" s="5">
        <f t="shared" si="64"/>
        <v>37.050000000000011</v>
      </c>
      <c r="AG61" s="6">
        <f t="shared" si="65"/>
        <v>1.4100719424460433</v>
      </c>
      <c r="AH61" s="5">
        <f>151.19</f>
        <v>151.19</v>
      </c>
      <c r="AI61" s="5">
        <f>90.35</f>
        <v>90.35</v>
      </c>
      <c r="AJ61" s="5">
        <f t="shared" si="66"/>
        <v>60.84</v>
      </c>
      <c r="AK61" s="6">
        <f t="shared" si="67"/>
        <v>1.6733812949640288</v>
      </c>
      <c r="AL61" s="5">
        <f>127.4</f>
        <v>127.4</v>
      </c>
      <c r="AM61" s="5">
        <f>90.35</f>
        <v>90.35</v>
      </c>
      <c r="AN61" s="5">
        <f t="shared" si="68"/>
        <v>37.050000000000011</v>
      </c>
      <c r="AO61" s="4"/>
      <c r="AP61" s="5">
        <f>90.35</f>
        <v>90.35</v>
      </c>
      <c r="AQ61" s="5">
        <f t="shared" si="69"/>
        <v>-90.35</v>
      </c>
      <c r="AR61" s="4"/>
      <c r="AS61" s="5">
        <f>90.35</f>
        <v>90.35</v>
      </c>
      <c r="AT61" s="5">
        <f t="shared" si="70"/>
        <v>-90.35</v>
      </c>
      <c r="AU61" s="23">
        <f t="shared" si="49"/>
        <v>1214.5899999999999</v>
      </c>
      <c r="AV61" s="14">
        <f t="shared" si="46"/>
        <v>1457.5079999999998</v>
      </c>
      <c r="AW61" s="24">
        <f t="shared" si="71"/>
        <v>1084.2</v>
      </c>
      <c r="AX61" s="14">
        <f t="shared" si="72"/>
        <v>130.38999999999987</v>
      </c>
      <c r="AY61" s="23"/>
      <c r="AZ61" s="14"/>
      <c r="BA61" s="13" t="s">
        <v>150</v>
      </c>
      <c r="BB61" s="24">
        <f>(196*12)*1.04</f>
        <v>2446.08</v>
      </c>
    </row>
    <row r="62" spans="1:54" x14ac:dyDescent="0.25">
      <c r="A62" s="3" t="s">
        <v>71</v>
      </c>
      <c r="B62" s="5">
        <f>57.4</f>
        <v>57.4</v>
      </c>
      <c r="C62" s="5">
        <f>48.65</f>
        <v>48.65</v>
      </c>
      <c r="D62" s="5">
        <f t="shared" si="50"/>
        <v>8.75</v>
      </c>
      <c r="E62" s="6">
        <f t="shared" si="51"/>
        <v>1.1798561151079137</v>
      </c>
      <c r="F62" s="5">
        <f>57.4</f>
        <v>57.4</v>
      </c>
      <c r="G62" s="5">
        <f>48.65</f>
        <v>48.65</v>
      </c>
      <c r="H62" s="5">
        <f t="shared" si="52"/>
        <v>8.75</v>
      </c>
      <c r="I62" s="6">
        <f t="shared" si="53"/>
        <v>1.1798561151079137</v>
      </c>
      <c r="J62" s="5">
        <f>57.4</f>
        <v>57.4</v>
      </c>
      <c r="K62" s="5">
        <f>48.65</f>
        <v>48.65</v>
      </c>
      <c r="L62" s="5">
        <f t="shared" si="54"/>
        <v>8.75</v>
      </c>
      <c r="M62" s="6">
        <f t="shared" si="55"/>
        <v>1.1798561151079137</v>
      </c>
      <c r="N62" s="5">
        <f>57.4</f>
        <v>57.4</v>
      </c>
      <c r="O62" s="5">
        <f>48.65</f>
        <v>48.65</v>
      </c>
      <c r="P62" s="5">
        <f t="shared" si="56"/>
        <v>8.75</v>
      </c>
      <c r="Q62" s="6">
        <f t="shared" si="57"/>
        <v>1.1798561151079137</v>
      </c>
      <c r="R62" s="5">
        <f>68.6</f>
        <v>68.599999999999994</v>
      </c>
      <c r="S62" s="5">
        <f>48.65</f>
        <v>48.65</v>
      </c>
      <c r="T62" s="5">
        <f t="shared" si="58"/>
        <v>19.949999999999996</v>
      </c>
      <c r="U62" s="6">
        <f t="shared" si="59"/>
        <v>1.4100719424460431</v>
      </c>
      <c r="V62" s="5">
        <f>68.6</f>
        <v>68.599999999999994</v>
      </c>
      <c r="W62" s="5">
        <f>48.65</f>
        <v>48.65</v>
      </c>
      <c r="X62" s="5">
        <f t="shared" si="60"/>
        <v>19.949999999999996</v>
      </c>
      <c r="Y62" s="6">
        <f t="shared" si="61"/>
        <v>1.4100719424460431</v>
      </c>
      <c r="Z62" s="5">
        <f>68.6</f>
        <v>68.599999999999994</v>
      </c>
      <c r="AA62" s="5">
        <f>48.65</f>
        <v>48.65</v>
      </c>
      <c r="AB62" s="5">
        <f t="shared" si="62"/>
        <v>19.949999999999996</v>
      </c>
      <c r="AC62" s="6">
        <f t="shared" si="63"/>
        <v>1.4100719424460431</v>
      </c>
      <c r="AD62" s="5">
        <f>68.6</f>
        <v>68.599999999999994</v>
      </c>
      <c r="AE62" s="5">
        <f>48.65</f>
        <v>48.65</v>
      </c>
      <c r="AF62" s="5">
        <f t="shared" si="64"/>
        <v>19.949999999999996</v>
      </c>
      <c r="AG62" s="6">
        <f t="shared" si="65"/>
        <v>1.4100719424460431</v>
      </c>
      <c r="AH62" s="5">
        <f>81.41</f>
        <v>81.41</v>
      </c>
      <c r="AI62" s="5">
        <f>48.65</f>
        <v>48.65</v>
      </c>
      <c r="AJ62" s="5">
        <f t="shared" si="66"/>
        <v>32.76</v>
      </c>
      <c r="AK62" s="6">
        <f t="shared" si="67"/>
        <v>1.6733812949640288</v>
      </c>
      <c r="AL62" s="5">
        <f>68.6</f>
        <v>68.599999999999994</v>
      </c>
      <c r="AM62" s="5">
        <f>48.65</f>
        <v>48.65</v>
      </c>
      <c r="AN62" s="5">
        <f t="shared" si="68"/>
        <v>19.949999999999996</v>
      </c>
      <c r="AO62" s="4"/>
      <c r="AP62" s="5">
        <f>48.65</f>
        <v>48.65</v>
      </c>
      <c r="AQ62" s="5">
        <f t="shared" si="69"/>
        <v>-48.65</v>
      </c>
      <c r="AR62" s="4"/>
      <c r="AS62" s="5">
        <f>48.65</f>
        <v>48.65</v>
      </c>
      <c r="AT62" s="5">
        <f t="shared" si="70"/>
        <v>-48.65</v>
      </c>
      <c r="AU62" s="23">
        <f t="shared" si="49"/>
        <v>654.01</v>
      </c>
      <c r="AV62" s="14">
        <f t="shared" si="46"/>
        <v>784.8119999999999</v>
      </c>
      <c r="AW62" s="24">
        <f t="shared" si="71"/>
        <v>583.79999999999984</v>
      </c>
      <c r="AX62" s="14">
        <f t="shared" si="72"/>
        <v>70.21000000000015</v>
      </c>
      <c r="AY62" s="23"/>
      <c r="AZ62" s="14"/>
      <c r="BA62" s="13"/>
      <c r="BB62" s="24"/>
    </row>
    <row r="63" spans="1:54" x14ac:dyDescent="0.25">
      <c r="A63" s="3" t="s">
        <v>72</v>
      </c>
      <c r="B63" s="5">
        <f>0</f>
        <v>0</v>
      </c>
      <c r="C63" s="4"/>
      <c r="D63" s="5">
        <f t="shared" si="50"/>
        <v>0</v>
      </c>
      <c r="E63" s="6" t="str">
        <f t="shared" si="51"/>
        <v/>
      </c>
      <c r="F63" s="5">
        <f>0</f>
        <v>0</v>
      </c>
      <c r="G63" s="4"/>
      <c r="H63" s="5">
        <f t="shared" si="52"/>
        <v>0</v>
      </c>
      <c r="I63" s="6" t="str">
        <f t="shared" si="53"/>
        <v/>
      </c>
      <c r="J63" s="5">
        <f>0</f>
        <v>0</v>
      </c>
      <c r="K63" s="4"/>
      <c r="L63" s="5">
        <f t="shared" si="54"/>
        <v>0</v>
      </c>
      <c r="M63" s="6" t="str">
        <f t="shared" si="55"/>
        <v/>
      </c>
      <c r="N63" s="5">
        <f>0</f>
        <v>0</v>
      </c>
      <c r="O63" s="4"/>
      <c r="P63" s="5">
        <f t="shared" si="56"/>
        <v>0</v>
      </c>
      <c r="Q63" s="6" t="str">
        <f t="shared" si="57"/>
        <v/>
      </c>
      <c r="R63" s="5">
        <f>0</f>
        <v>0</v>
      </c>
      <c r="S63" s="4"/>
      <c r="T63" s="5">
        <f t="shared" si="58"/>
        <v>0</v>
      </c>
      <c r="U63" s="6" t="str">
        <f t="shared" si="59"/>
        <v/>
      </c>
      <c r="V63" s="5">
        <f>0</f>
        <v>0</v>
      </c>
      <c r="W63" s="4"/>
      <c r="X63" s="5">
        <f t="shared" si="60"/>
        <v>0</v>
      </c>
      <c r="Y63" s="6" t="str">
        <f t="shared" si="61"/>
        <v/>
      </c>
      <c r="Z63" s="5">
        <f>0</f>
        <v>0</v>
      </c>
      <c r="AA63" s="4"/>
      <c r="AB63" s="5">
        <f t="shared" si="62"/>
        <v>0</v>
      </c>
      <c r="AC63" s="6" t="str">
        <f t="shared" si="63"/>
        <v/>
      </c>
      <c r="AD63" s="5">
        <f>0</f>
        <v>0</v>
      </c>
      <c r="AE63" s="4"/>
      <c r="AF63" s="5">
        <f t="shared" si="64"/>
        <v>0</v>
      </c>
      <c r="AG63" s="6" t="str">
        <f t="shared" si="65"/>
        <v/>
      </c>
      <c r="AH63" s="5">
        <f>0</f>
        <v>0</v>
      </c>
      <c r="AI63" s="4"/>
      <c r="AJ63" s="5">
        <f t="shared" si="66"/>
        <v>0</v>
      </c>
      <c r="AK63" s="6" t="str">
        <f t="shared" si="67"/>
        <v/>
      </c>
      <c r="AL63" s="5">
        <f>0</f>
        <v>0</v>
      </c>
      <c r="AM63" s="4"/>
      <c r="AN63" s="5">
        <f t="shared" si="68"/>
        <v>0</v>
      </c>
      <c r="AO63" s="4"/>
      <c r="AP63" s="4"/>
      <c r="AQ63" s="5">
        <f t="shared" si="69"/>
        <v>0</v>
      </c>
      <c r="AR63" s="4"/>
      <c r="AS63" s="4"/>
      <c r="AT63" s="5">
        <f t="shared" si="70"/>
        <v>0</v>
      </c>
      <c r="AU63" s="23">
        <f t="shared" si="49"/>
        <v>0</v>
      </c>
      <c r="AV63" s="14">
        <f t="shared" si="46"/>
        <v>0</v>
      </c>
      <c r="AW63" s="24">
        <f t="shared" si="71"/>
        <v>0</v>
      </c>
      <c r="AX63" s="14">
        <f t="shared" si="72"/>
        <v>0</v>
      </c>
      <c r="AY63" s="23"/>
      <c r="AZ63" s="14"/>
      <c r="BA63" s="13"/>
      <c r="BB63" s="24"/>
    </row>
    <row r="64" spans="1:54" x14ac:dyDescent="0.25">
      <c r="A64" s="3" t="s">
        <v>73</v>
      </c>
      <c r="B64" s="7">
        <f>(((B60)+(B61))+(B62))+(B63)</f>
        <v>164</v>
      </c>
      <c r="C64" s="7">
        <f>(((C60)+(C61))+(C62))+(C63)</f>
        <v>139</v>
      </c>
      <c r="D64" s="7">
        <f t="shared" si="50"/>
        <v>25</v>
      </c>
      <c r="E64" s="8">
        <f t="shared" si="51"/>
        <v>1.1798561151079137</v>
      </c>
      <c r="F64" s="7">
        <f>(((F60)+(F61))+(F62))+(F63)</f>
        <v>164</v>
      </c>
      <c r="G64" s="7">
        <f>(((G60)+(G61))+(G62))+(G63)</f>
        <v>139</v>
      </c>
      <c r="H64" s="7">
        <f t="shared" si="52"/>
        <v>25</v>
      </c>
      <c r="I64" s="8">
        <f t="shared" si="53"/>
        <v>1.1798561151079137</v>
      </c>
      <c r="J64" s="7">
        <f>(((J60)+(J61))+(J62))+(J63)</f>
        <v>164</v>
      </c>
      <c r="K64" s="7">
        <f>(((K60)+(K61))+(K62))+(K63)</f>
        <v>139</v>
      </c>
      <c r="L64" s="7">
        <f t="shared" si="54"/>
        <v>25</v>
      </c>
      <c r="M64" s="8">
        <f t="shared" si="55"/>
        <v>1.1798561151079137</v>
      </c>
      <c r="N64" s="7">
        <f>(((N60)+(N61))+(N62))+(N63)</f>
        <v>164</v>
      </c>
      <c r="O64" s="7">
        <f>(((O60)+(O61))+(O62))+(O63)</f>
        <v>139</v>
      </c>
      <c r="P64" s="7">
        <f t="shared" si="56"/>
        <v>25</v>
      </c>
      <c r="Q64" s="8">
        <f t="shared" si="57"/>
        <v>1.1798561151079137</v>
      </c>
      <c r="R64" s="7">
        <f>(((R60)+(R61))+(R62))+(R63)</f>
        <v>196</v>
      </c>
      <c r="S64" s="7">
        <f>(((S60)+(S61))+(S62))+(S63)</f>
        <v>139</v>
      </c>
      <c r="T64" s="7">
        <f t="shared" si="58"/>
        <v>57</v>
      </c>
      <c r="U64" s="8">
        <f t="shared" si="59"/>
        <v>1.4100719424460431</v>
      </c>
      <c r="V64" s="7">
        <f>(((V60)+(V61))+(V62))+(V63)</f>
        <v>196</v>
      </c>
      <c r="W64" s="7">
        <f>(((W60)+(W61))+(W62))+(W63)</f>
        <v>139</v>
      </c>
      <c r="X64" s="7">
        <f t="shared" si="60"/>
        <v>57</v>
      </c>
      <c r="Y64" s="8">
        <f t="shared" si="61"/>
        <v>1.4100719424460431</v>
      </c>
      <c r="Z64" s="7">
        <f>(((Z60)+(Z61))+(Z62))+(Z63)</f>
        <v>196</v>
      </c>
      <c r="AA64" s="7">
        <f>(((AA60)+(AA61))+(AA62))+(AA63)</f>
        <v>139</v>
      </c>
      <c r="AB64" s="7">
        <f t="shared" si="62"/>
        <v>57</v>
      </c>
      <c r="AC64" s="8">
        <f t="shared" si="63"/>
        <v>1.4100719424460431</v>
      </c>
      <c r="AD64" s="7">
        <f>(((AD60)+(AD61))+(AD62))+(AD63)</f>
        <v>196</v>
      </c>
      <c r="AE64" s="7">
        <f>(((AE60)+(AE61))+(AE62))+(AE63)</f>
        <v>139</v>
      </c>
      <c r="AF64" s="7">
        <f t="shared" si="64"/>
        <v>57</v>
      </c>
      <c r="AG64" s="8">
        <f t="shared" si="65"/>
        <v>1.4100719424460431</v>
      </c>
      <c r="AH64" s="7">
        <f>(((AH60)+(AH61))+(AH62))+(AH63)</f>
        <v>232.6</v>
      </c>
      <c r="AI64" s="7">
        <f>(((AI60)+(AI61))+(AI62))+(AI63)</f>
        <v>139</v>
      </c>
      <c r="AJ64" s="7">
        <f t="shared" si="66"/>
        <v>93.6</v>
      </c>
      <c r="AK64" s="8">
        <f t="shared" si="67"/>
        <v>1.6733812949640288</v>
      </c>
      <c r="AL64" s="7">
        <f>(((AL60)+(AL61))+(AL62))+(AL63)</f>
        <v>196</v>
      </c>
      <c r="AM64" s="7">
        <f>(((AM60)+(AM61))+(AM62))+(AM63)</f>
        <v>139</v>
      </c>
      <c r="AN64" s="7">
        <f t="shared" si="68"/>
        <v>57</v>
      </c>
      <c r="AO64" s="7">
        <f>(((AO60)+(AO61))+(AO62))+(AO63)</f>
        <v>0</v>
      </c>
      <c r="AP64" s="7">
        <f>(((AP60)+(AP61))+(AP62))+(AP63)</f>
        <v>139</v>
      </c>
      <c r="AQ64" s="7">
        <f t="shared" si="69"/>
        <v>-139</v>
      </c>
      <c r="AR64" s="7">
        <f>(((AR60)+(AR61))+(AR62))+(AR63)</f>
        <v>0</v>
      </c>
      <c r="AS64" s="7">
        <f>(((AS60)+(AS61))+(AS62))+(AS63)</f>
        <v>139</v>
      </c>
      <c r="AT64" s="7">
        <f t="shared" si="70"/>
        <v>-139</v>
      </c>
      <c r="AU64" s="25">
        <f t="shared" si="49"/>
        <v>1868.6</v>
      </c>
      <c r="AV64" s="16">
        <f t="shared" si="46"/>
        <v>2242.3199999999997</v>
      </c>
      <c r="AW64" s="26">
        <f t="shared" si="71"/>
        <v>1668</v>
      </c>
      <c r="AX64" s="16">
        <f t="shared" si="72"/>
        <v>200.59999999999991</v>
      </c>
      <c r="AY64" s="25">
        <f>BB64</f>
        <v>2446.08</v>
      </c>
      <c r="AZ64" s="18">
        <f>AY64-AW64</f>
        <v>778.07999999999993</v>
      </c>
      <c r="BA64" s="13"/>
      <c r="BB64" s="26">
        <f>SUM(BB61:BB63)</f>
        <v>2446.08</v>
      </c>
    </row>
    <row r="65" spans="1:54" x14ac:dyDescent="0.25">
      <c r="A65" s="3" t="s">
        <v>74</v>
      </c>
      <c r="B65" s="4"/>
      <c r="C65" s="4"/>
      <c r="D65" s="5">
        <f t="shared" si="50"/>
        <v>0</v>
      </c>
      <c r="E65" s="6" t="str">
        <f t="shared" si="51"/>
        <v/>
      </c>
      <c r="F65" s="4"/>
      <c r="G65" s="4"/>
      <c r="H65" s="5">
        <f t="shared" si="52"/>
        <v>0</v>
      </c>
      <c r="I65" s="6" t="str">
        <f t="shared" si="53"/>
        <v/>
      </c>
      <c r="J65" s="4"/>
      <c r="K65" s="4"/>
      <c r="L65" s="5">
        <f t="shared" si="54"/>
        <v>0</v>
      </c>
      <c r="M65" s="6" t="str">
        <f t="shared" si="55"/>
        <v/>
      </c>
      <c r="N65" s="4"/>
      <c r="O65" s="4"/>
      <c r="P65" s="5">
        <f t="shared" si="56"/>
        <v>0</v>
      </c>
      <c r="Q65" s="6" t="str">
        <f t="shared" si="57"/>
        <v/>
      </c>
      <c r="R65" s="4"/>
      <c r="S65" s="4"/>
      <c r="T65" s="5">
        <f t="shared" si="58"/>
        <v>0</v>
      </c>
      <c r="U65" s="6" t="str">
        <f t="shared" si="59"/>
        <v/>
      </c>
      <c r="V65" s="4"/>
      <c r="W65" s="4"/>
      <c r="X65" s="5">
        <f t="shared" si="60"/>
        <v>0</v>
      </c>
      <c r="Y65" s="6" t="str">
        <f t="shared" si="61"/>
        <v/>
      </c>
      <c r="Z65" s="4"/>
      <c r="AA65" s="4"/>
      <c r="AB65" s="5">
        <f t="shared" si="62"/>
        <v>0</v>
      </c>
      <c r="AC65" s="6" t="str">
        <f t="shared" si="63"/>
        <v/>
      </c>
      <c r="AD65" s="4"/>
      <c r="AE65" s="4"/>
      <c r="AF65" s="5">
        <f t="shared" si="64"/>
        <v>0</v>
      </c>
      <c r="AG65" s="6" t="str">
        <f t="shared" si="65"/>
        <v/>
      </c>
      <c r="AH65" s="4"/>
      <c r="AI65" s="4"/>
      <c r="AJ65" s="5">
        <f t="shared" si="66"/>
        <v>0</v>
      </c>
      <c r="AK65" s="6" t="str">
        <f t="shared" si="67"/>
        <v/>
      </c>
      <c r="AL65" s="4"/>
      <c r="AM65" s="4"/>
      <c r="AN65" s="5">
        <f t="shared" si="68"/>
        <v>0</v>
      </c>
      <c r="AO65" s="4"/>
      <c r="AP65" s="4"/>
      <c r="AQ65" s="5">
        <f t="shared" si="69"/>
        <v>0</v>
      </c>
      <c r="AR65" s="4"/>
      <c r="AS65" s="4"/>
      <c r="AT65" s="5">
        <f t="shared" si="70"/>
        <v>0</v>
      </c>
      <c r="AU65" s="23">
        <f t="shared" si="49"/>
        <v>0</v>
      </c>
      <c r="AV65" s="14">
        <f t="shared" si="46"/>
        <v>0</v>
      </c>
      <c r="AW65" s="24">
        <f t="shared" si="71"/>
        <v>0</v>
      </c>
      <c r="AX65" s="14">
        <f t="shared" si="72"/>
        <v>0</v>
      </c>
      <c r="AY65" s="23"/>
      <c r="AZ65" s="14"/>
      <c r="BA65" s="13" t="s">
        <v>149</v>
      </c>
      <c r="BB65" s="24">
        <f>160*12</f>
        <v>1920</v>
      </c>
    </row>
    <row r="66" spans="1:54" x14ac:dyDescent="0.25">
      <c r="A66" s="3" t="s">
        <v>75</v>
      </c>
      <c r="B66" s="5">
        <f>359.76</f>
        <v>359.76</v>
      </c>
      <c r="C66" s="5">
        <f>352.08</f>
        <v>352.08</v>
      </c>
      <c r="D66" s="5">
        <f t="shared" si="50"/>
        <v>7.6800000000000068</v>
      </c>
      <c r="E66" s="6">
        <f t="shared" si="51"/>
        <v>1.021813224267212</v>
      </c>
      <c r="F66" s="5">
        <f>206.02</f>
        <v>206.02</v>
      </c>
      <c r="G66" s="5">
        <f>352.08</f>
        <v>352.08</v>
      </c>
      <c r="H66" s="5">
        <f t="shared" si="52"/>
        <v>-146.05999999999997</v>
      </c>
      <c r="I66" s="6">
        <f t="shared" si="53"/>
        <v>0.58515110202226772</v>
      </c>
      <c r="J66" s="5">
        <f>250.57</f>
        <v>250.57</v>
      </c>
      <c r="K66" s="5">
        <f>352.08</f>
        <v>352.08</v>
      </c>
      <c r="L66" s="5">
        <f t="shared" si="54"/>
        <v>-101.50999999999999</v>
      </c>
      <c r="M66" s="6">
        <f t="shared" si="55"/>
        <v>0.71168484435355606</v>
      </c>
      <c r="N66" s="5">
        <f>319.57</f>
        <v>319.57</v>
      </c>
      <c r="O66" s="5">
        <f>352.08</f>
        <v>352.08</v>
      </c>
      <c r="P66" s="5">
        <f t="shared" si="56"/>
        <v>-32.509999999999991</v>
      </c>
      <c r="Q66" s="6">
        <f t="shared" si="57"/>
        <v>0.90766303112928881</v>
      </c>
      <c r="R66" s="5">
        <f>191.23</f>
        <v>191.23</v>
      </c>
      <c r="S66" s="5">
        <f>352.08</f>
        <v>352.08</v>
      </c>
      <c r="T66" s="5">
        <f t="shared" si="58"/>
        <v>-160.85</v>
      </c>
      <c r="U66" s="6">
        <f t="shared" si="59"/>
        <v>0.54314360372642578</v>
      </c>
      <c r="V66" s="5">
        <f>605.86</f>
        <v>605.86</v>
      </c>
      <c r="W66" s="5">
        <f>352.08</f>
        <v>352.08</v>
      </c>
      <c r="X66" s="5">
        <f t="shared" si="60"/>
        <v>253.78000000000003</v>
      </c>
      <c r="Y66" s="6">
        <f t="shared" si="61"/>
        <v>1.7208020904339925</v>
      </c>
      <c r="Z66" s="5">
        <f>333.69</f>
        <v>333.69</v>
      </c>
      <c r="AA66" s="5">
        <f>352.08</f>
        <v>352.08</v>
      </c>
      <c r="AB66" s="5">
        <f t="shared" si="62"/>
        <v>-18.389999999999986</v>
      </c>
      <c r="AC66" s="6">
        <f t="shared" si="63"/>
        <v>0.94776755282890257</v>
      </c>
      <c r="AD66" s="5">
        <f>840.21</f>
        <v>840.21</v>
      </c>
      <c r="AE66" s="5">
        <f>352.08</f>
        <v>352.08</v>
      </c>
      <c r="AF66" s="5">
        <f t="shared" si="64"/>
        <v>488.13000000000005</v>
      </c>
      <c r="AG66" s="6">
        <f t="shared" si="65"/>
        <v>2.3864178595773691</v>
      </c>
      <c r="AH66" s="5">
        <f>159.94</f>
        <v>159.94</v>
      </c>
      <c r="AI66" s="5">
        <f>352.08</f>
        <v>352.08</v>
      </c>
      <c r="AJ66" s="5">
        <f t="shared" si="66"/>
        <v>-192.14</v>
      </c>
      <c r="AK66" s="6">
        <f t="shared" si="67"/>
        <v>0.4542717564189957</v>
      </c>
      <c r="AL66" s="5">
        <f>187.75</f>
        <v>187.75</v>
      </c>
      <c r="AM66" s="5">
        <f>352.08</f>
        <v>352.08</v>
      </c>
      <c r="AN66" s="5">
        <f t="shared" si="68"/>
        <v>-164.32999999999998</v>
      </c>
      <c r="AO66" s="4"/>
      <c r="AP66" s="5">
        <f>352.08</f>
        <v>352.08</v>
      </c>
      <c r="AQ66" s="5">
        <f t="shared" si="69"/>
        <v>-352.08</v>
      </c>
      <c r="AR66" s="4"/>
      <c r="AS66" s="5">
        <f>352.12</f>
        <v>352.12</v>
      </c>
      <c r="AT66" s="5">
        <f t="shared" si="70"/>
        <v>-352.12</v>
      </c>
      <c r="AU66" s="23">
        <f t="shared" si="49"/>
        <v>3454.6</v>
      </c>
      <c r="AV66" s="14">
        <f t="shared" si="46"/>
        <v>4145.5199999999995</v>
      </c>
      <c r="AW66" s="24">
        <f t="shared" si="71"/>
        <v>4225</v>
      </c>
      <c r="AX66" s="14">
        <f t="shared" si="72"/>
        <v>-770.40000000000009</v>
      </c>
      <c r="AY66" s="23"/>
      <c r="AZ66" s="14"/>
      <c r="BA66" s="13" t="s">
        <v>160</v>
      </c>
      <c r="BB66" s="24">
        <f>146*12</f>
        <v>1752</v>
      </c>
    </row>
    <row r="67" spans="1:54" x14ac:dyDescent="0.25">
      <c r="A67" s="3" t="s">
        <v>76</v>
      </c>
      <c r="B67" s="5">
        <f>193.72</f>
        <v>193.72</v>
      </c>
      <c r="C67" s="5">
        <f>189.58</f>
        <v>189.58</v>
      </c>
      <c r="D67" s="5">
        <f t="shared" si="50"/>
        <v>4.1399999999999864</v>
      </c>
      <c r="E67" s="6">
        <f t="shared" si="51"/>
        <v>1.0218377465977424</v>
      </c>
      <c r="F67" s="5">
        <f>110.94</f>
        <v>110.94</v>
      </c>
      <c r="G67" s="5">
        <f>189.58</f>
        <v>189.58</v>
      </c>
      <c r="H67" s="5">
        <f t="shared" si="52"/>
        <v>-78.640000000000015</v>
      </c>
      <c r="I67" s="6">
        <f t="shared" si="53"/>
        <v>0.58518831100327029</v>
      </c>
      <c r="J67" s="5">
        <f>134.92</f>
        <v>134.91999999999999</v>
      </c>
      <c r="K67" s="5">
        <f>189.58</f>
        <v>189.58</v>
      </c>
      <c r="L67" s="5">
        <f t="shared" si="54"/>
        <v>-54.660000000000025</v>
      </c>
      <c r="M67" s="6">
        <f t="shared" si="55"/>
        <v>0.71167844709357519</v>
      </c>
      <c r="N67" s="5">
        <f>172.07</f>
        <v>172.07</v>
      </c>
      <c r="O67" s="5">
        <f>189.58</f>
        <v>189.58</v>
      </c>
      <c r="P67" s="5">
        <f t="shared" si="56"/>
        <v>-17.510000000000019</v>
      </c>
      <c r="Q67" s="6">
        <f t="shared" si="57"/>
        <v>0.90763793649119096</v>
      </c>
      <c r="R67" s="5">
        <f>102.97</f>
        <v>102.97</v>
      </c>
      <c r="S67" s="5">
        <f>189.58</f>
        <v>189.58</v>
      </c>
      <c r="T67" s="5">
        <f t="shared" si="58"/>
        <v>-86.610000000000014</v>
      </c>
      <c r="U67" s="6">
        <f t="shared" si="59"/>
        <v>0.54314801139360691</v>
      </c>
      <c r="V67" s="5">
        <f>326.23</f>
        <v>326.23</v>
      </c>
      <c r="W67" s="5">
        <f>189.58</f>
        <v>189.58</v>
      </c>
      <c r="X67" s="5">
        <f t="shared" si="60"/>
        <v>136.65</v>
      </c>
      <c r="Y67" s="6">
        <f t="shared" si="61"/>
        <v>1.7208038822660618</v>
      </c>
      <c r="Z67" s="5">
        <f>179.68</f>
        <v>179.68</v>
      </c>
      <c r="AA67" s="5">
        <f>189.58</f>
        <v>189.58</v>
      </c>
      <c r="AB67" s="5">
        <f t="shared" si="62"/>
        <v>-9.9000000000000057</v>
      </c>
      <c r="AC67" s="6">
        <f t="shared" si="63"/>
        <v>0.94777930161409429</v>
      </c>
      <c r="AD67" s="5">
        <f>452.42</f>
        <v>452.42</v>
      </c>
      <c r="AE67" s="5">
        <f>189.58</f>
        <v>189.58</v>
      </c>
      <c r="AF67" s="5">
        <f t="shared" si="64"/>
        <v>262.84000000000003</v>
      </c>
      <c r="AG67" s="6">
        <f t="shared" si="65"/>
        <v>2.386433168055702</v>
      </c>
      <c r="AH67" s="5">
        <f>86.12</f>
        <v>86.12</v>
      </c>
      <c r="AI67" s="5">
        <f>189.58</f>
        <v>189.58</v>
      </c>
      <c r="AJ67" s="5">
        <f t="shared" si="66"/>
        <v>-103.46000000000001</v>
      </c>
      <c r="AK67" s="6">
        <f t="shared" si="67"/>
        <v>0.4542673277771917</v>
      </c>
      <c r="AL67" s="5">
        <f>101.1</f>
        <v>101.1</v>
      </c>
      <c r="AM67" s="5">
        <f>189.58</f>
        <v>189.58</v>
      </c>
      <c r="AN67" s="5">
        <f t="shared" si="68"/>
        <v>-88.480000000000018</v>
      </c>
      <c r="AO67" s="4"/>
      <c r="AP67" s="5">
        <f>189.58</f>
        <v>189.58</v>
      </c>
      <c r="AQ67" s="5">
        <f t="shared" si="69"/>
        <v>-189.58</v>
      </c>
      <c r="AR67" s="4"/>
      <c r="AS67" s="5">
        <f>189.62</f>
        <v>189.62</v>
      </c>
      <c r="AT67" s="5">
        <f t="shared" si="70"/>
        <v>-189.62</v>
      </c>
      <c r="AU67" s="23">
        <f t="shared" si="49"/>
        <v>1860.17</v>
      </c>
      <c r="AV67" s="14">
        <f t="shared" si="46"/>
        <v>2232.2039999999997</v>
      </c>
      <c r="AW67" s="24">
        <f t="shared" si="71"/>
        <v>2274.9999999999995</v>
      </c>
      <c r="AX67" s="14">
        <f t="shared" si="72"/>
        <v>-414.82999999999947</v>
      </c>
      <c r="AY67" s="23"/>
      <c r="AZ67" s="14"/>
      <c r="BA67" s="13" t="s">
        <v>159</v>
      </c>
      <c r="BB67" s="24">
        <f>(70*1.04)*12</f>
        <v>873.59999999999991</v>
      </c>
    </row>
    <row r="68" spans="1:54" x14ac:dyDescent="0.25">
      <c r="A68" s="3"/>
      <c r="B68" s="5"/>
      <c r="C68" s="5"/>
      <c r="D68" s="5"/>
      <c r="E68" s="6"/>
      <c r="F68" s="5"/>
      <c r="G68" s="5"/>
      <c r="H68" s="5"/>
      <c r="I68" s="6"/>
      <c r="J68" s="5"/>
      <c r="K68" s="5"/>
      <c r="L68" s="5"/>
      <c r="M68" s="6"/>
      <c r="N68" s="5"/>
      <c r="O68" s="5"/>
      <c r="P68" s="5"/>
      <c r="Q68" s="6"/>
      <c r="R68" s="5"/>
      <c r="S68" s="5"/>
      <c r="T68" s="5"/>
      <c r="U68" s="6"/>
      <c r="V68" s="5"/>
      <c r="W68" s="5"/>
      <c r="X68" s="5"/>
      <c r="Y68" s="6"/>
      <c r="Z68" s="5"/>
      <c r="AA68" s="5"/>
      <c r="AB68" s="5"/>
      <c r="AC68" s="6"/>
      <c r="AD68" s="5"/>
      <c r="AE68" s="5"/>
      <c r="AF68" s="5"/>
      <c r="AG68" s="6"/>
      <c r="AH68" s="5"/>
      <c r="AI68" s="5"/>
      <c r="AJ68" s="5"/>
      <c r="AK68" s="6"/>
      <c r="AL68" s="5"/>
      <c r="AM68" s="5"/>
      <c r="AN68" s="5"/>
      <c r="AO68" s="4"/>
      <c r="AP68" s="5"/>
      <c r="AQ68" s="5"/>
      <c r="AR68" s="4"/>
      <c r="AS68" s="5"/>
      <c r="AT68" s="5"/>
      <c r="AU68" s="23"/>
      <c r="AV68" s="14"/>
      <c r="AW68" s="24"/>
      <c r="AX68" s="14"/>
      <c r="AY68" s="23"/>
      <c r="AZ68" s="14"/>
      <c r="BA68" s="13" t="s">
        <v>158</v>
      </c>
      <c r="BB68" s="24">
        <f>40*12</f>
        <v>480</v>
      </c>
    </row>
    <row r="69" spans="1:54" x14ac:dyDescent="0.25">
      <c r="A69" s="3"/>
      <c r="B69" s="5"/>
      <c r="C69" s="5"/>
      <c r="D69" s="5"/>
      <c r="E69" s="6"/>
      <c r="F69" s="5"/>
      <c r="G69" s="5"/>
      <c r="H69" s="5"/>
      <c r="I69" s="6"/>
      <c r="J69" s="5"/>
      <c r="K69" s="5"/>
      <c r="L69" s="5"/>
      <c r="M69" s="6"/>
      <c r="N69" s="5"/>
      <c r="O69" s="5"/>
      <c r="P69" s="5"/>
      <c r="Q69" s="6"/>
      <c r="R69" s="5"/>
      <c r="S69" s="5"/>
      <c r="T69" s="5"/>
      <c r="U69" s="6"/>
      <c r="V69" s="5"/>
      <c r="W69" s="5"/>
      <c r="X69" s="5"/>
      <c r="Y69" s="6"/>
      <c r="Z69" s="5"/>
      <c r="AA69" s="5"/>
      <c r="AB69" s="5"/>
      <c r="AC69" s="6"/>
      <c r="AD69" s="5"/>
      <c r="AE69" s="5"/>
      <c r="AF69" s="5"/>
      <c r="AG69" s="6"/>
      <c r="AH69" s="5"/>
      <c r="AI69" s="5"/>
      <c r="AJ69" s="5"/>
      <c r="AK69" s="6"/>
      <c r="AL69" s="5"/>
      <c r="AM69" s="5"/>
      <c r="AN69" s="5"/>
      <c r="AO69" s="4"/>
      <c r="AP69" s="5"/>
      <c r="AQ69" s="5"/>
      <c r="AR69" s="4"/>
      <c r="AS69" s="5"/>
      <c r="AT69" s="5"/>
      <c r="AU69" s="23"/>
      <c r="AV69" s="14"/>
      <c r="AW69" s="24"/>
      <c r="AX69" s="14"/>
      <c r="AY69" s="23"/>
      <c r="AZ69" s="14"/>
      <c r="BA69" s="13" t="s">
        <v>154</v>
      </c>
      <c r="BB69" s="24">
        <v>2100</v>
      </c>
    </row>
    <row r="70" spans="1:54" ht="23.25" x14ac:dyDescent="0.25">
      <c r="A70" s="3" t="s">
        <v>77</v>
      </c>
      <c r="B70" s="5">
        <f>0</f>
        <v>0</v>
      </c>
      <c r="C70" s="4"/>
      <c r="D70" s="5">
        <f t="shared" si="50"/>
        <v>0</v>
      </c>
      <c r="E70" s="6" t="str">
        <f t="shared" si="51"/>
        <v/>
      </c>
      <c r="F70" s="5">
        <f>292.06</f>
        <v>292.06</v>
      </c>
      <c r="G70" s="4"/>
      <c r="H70" s="5">
        <f t="shared" si="52"/>
        <v>292.06</v>
      </c>
      <c r="I70" s="6" t="str">
        <f t="shared" si="53"/>
        <v/>
      </c>
      <c r="J70" s="5">
        <f>0</f>
        <v>0</v>
      </c>
      <c r="K70" s="4"/>
      <c r="L70" s="5">
        <f t="shared" si="54"/>
        <v>0</v>
      </c>
      <c r="M70" s="6" t="str">
        <f t="shared" si="55"/>
        <v/>
      </c>
      <c r="N70" s="5">
        <f>-146</f>
        <v>-146</v>
      </c>
      <c r="O70" s="4"/>
      <c r="P70" s="5">
        <f t="shared" si="56"/>
        <v>-146</v>
      </c>
      <c r="Q70" s="6" t="str">
        <f t="shared" si="57"/>
        <v/>
      </c>
      <c r="R70" s="5">
        <f>146</f>
        <v>146</v>
      </c>
      <c r="S70" s="4"/>
      <c r="T70" s="5">
        <f t="shared" si="58"/>
        <v>146</v>
      </c>
      <c r="U70" s="6" t="str">
        <f t="shared" si="59"/>
        <v/>
      </c>
      <c r="V70" s="5">
        <f>-146.06</f>
        <v>-146.06</v>
      </c>
      <c r="W70" s="4"/>
      <c r="X70" s="5">
        <f t="shared" si="60"/>
        <v>-146.06</v>
      </c>
      <c r="Y70" s="6" t="str">
        <f t="shared" si="61"/>
        <v/>
      </c>
      <c r="Z70" s="5">
        <f>0</f>
        <v>0</v>
      </c>
      <c r="AA70" s="4"/>
      <c r="AB70" s="5">
        <f t="shared" si="62"/>
        <v>0</v>
      </c>
      <c r="AC70" s="6" t="str">
        <f t="shared" si="63"/>
        <v/>
      </c>
      <c r="AD70" s="5">
        <f>-146</f>
        <v>-146</v>
      </c>
      <c r="AE70" s="4"/>
      <c r="AF70" s="5">
        <f t="shared" si="64"/>
        <v>-146</v>
      </c>
      <c r="AG70" s="6" t="str">
        <f t="shared" si="65"/>
        <v/>
      </c>
      <c r="AH70" s="5">
        <f>291.76</f>
        <v>291.76</v>
      </c>
      <c r="AI70" s="4"/>
      <c r="AJ70" s="5">
        <f t="shared" si="66"/>
        <v>291.76</v>
      </c>
      <c r="AK70" s="6" t="str">
        <f t="shared" si="67"/>
        <v/>
      </c>
      <c r="AL70" s="5">
        <f>152.91</f>
        <v>152.91</v>
      </c>
      <c r="AM70" s="4"/>
      <c r="AN70" s="5">
        <f t="shared" si="68"/>
        <v>152.91</v>
      </c>
      <c r="AO70" s="5">
        <v>0</v>
      </c>
      <c r="AP70" s="4"/>
      <c r="AQ70" s="5">
        <f t="shared" si="69"/>
        <v>0</v>
      </c>
      <c r="AR70" s="4"/>
      <c r="AS70" s="4"/>
      <c r="AT70" s="5">
        <f t="shared" si="70"/>
        <v>0</v>
      </c>
      <c r="AU70" s="23">
        <f t="shared" ref="AU70:AU101" si="73">(((((((((((B70)+(F70))+(J70))+(N70))+(R70))+(V70))+(Z70))+(AD70))+(AH70))+(AL70))+(AO70))+(AR70)</f>
        <v>444.66999999999996</v>
      </c>
      <c r="AV70" s="14">
        <f t="shared" si="46"/>
        <v>533.60400000000004</v>
      </c>
      <c r="AW70" s="24">
        <f t="shared" ref="AW70:AW101" si="74">(((((((((((C70)+(G70))+(K70))+(O70))+(S70))+(W70))+(AA70))+(AE70))+(AI70))+(AM70))+(AP70))+(AS70)</f>
        <v>0</v>
      </c>
      <c r="AX70" s="14">
        <f t="shared" si="72"/>
        <v>444.66999999999996</v>
      </c>
      <c r="AY70" s="23"/>
      <c r="AZ70" s="14"/>
      <c r="BA70" s="13" t="s">
        <v>161</v>
      </c>
      <c r="BB70" s="24">
        <f>60.19*12</f>
        <v>722.28</v>
      </c>
    </row>
    <row r="71" spans="1:54" x14ac:dyDescent="0.25">
      <c r="A71" s="3" t="s">
        <v>78</v>
      </c>
      <c r="B71" s="7">
        <f>(((B65)+(B66))+(B67))+(B70)</f>
        <v>553.48</v>
      </c>
      <c r="C71" s="7">
        <f>(((C65)+(C66))+(C67))+(C70)</f>
        <v>541.66</v>
      </c>
      <c r="D71" s="7">
        <f t="shared" si="50"/>
        <v>11.82000000000005</v>
      </c>
      <c r="E71" s="8">
        <f t="shared" si="51"/>
        <v>1.0218218070376253</v>
      </c>
      <c r="F71" s="7">
        <f>(((F65)+(F66))+(F67))+(F70)</f>
        <v>609.02</v>
      </c>
      <c r="G71" s="7">
        <f>(((G65)+(G66))+(G67))+(G70)</f>
        <v>541.66</v>
      </c>
      <c r="H71" s="7">
        <f t="shared" si="52"/>
        <v>67.360000000000014</v>
      </c>
      <c r="I71" s="8">
        <f t="shared" si="53"/>
        <v>1.1243584536425064</v>
      </c>
      <c r="J71" s="7">
        <f>(((J65)+(J66))+(J67))+(J70)</f>
        <v>385.49</v>
      </c>
      <c r="K71" s="7">
        <f>(((K65)+(K66))+(K67))+(K70)</f>
        <v>541.66</v>
      </c>
      <c r="L71" s="7">
        <f t="shared" si="54"/>
        <v>-156.16999999999996</v>
      </c>
      <c r="M71" s="8">
        <f t="shared" si="55"/>
        <v>0.71168260532437333</v>
      </c>
      <c r="N71" s="7">
        <f>(((N65)+(N66))+(N67))+(N70)</f>
        <v>345.64</v>
      </c>
      <c r="O71" s="7">
        <f>(((O65)+(O66))+(O67))+(O70)</f>
        <v>541.66</v>
      </c>
      <c r="P71" s="7">
        <f t="shared" si="56"/>
        <v>-196.01999999999998</v>
      </c>
      <c r="Q71" s="8">
        <f t="shared" si="57"/>
        <v>0.63811246907654251</v>
      </c>
      <c r="R71" s="7">
        <f>(((R65)+(R66))+(R67))+(R70)</f>
        <v>440.2</v>
      </c>
      <c r="S71" s="7">
        <f>(((S65)+(S66))+(S67))+(S70)</f>
        <v>541.66</v>
      </c>
      <c r="T71" s="7">
        <f t="shared" si="58"/>
        <v>-101.45999999999998</v>
      </c>
      <c r="U71" s="8">
        <f t="shared" si="59"/>
        <v>0.81268692537754317</v>
      </c>
      <c r="V71" s="7">
        <f>(((V65)+(V66))+(V67))+(V70)</f>
        <v>786.03</v>
      </c>
      <c r="W71" s="7">
        <f>(((W65)+(W66))+(W67))+(W70)</f>
        <v>541.66</v>
      </c>
      <c r="X71" s="7">
        <f t="shared" si="60"/>
        <v>244.37</v>
      </c>
      <c r="Y71" s="8">
        <f t="shared" si="61"/>
        <v>1.4511501680020678</v>
      </c>
      <c r="Z71" s="7">
        <f>(((Z65)+(Z66))+(Z67))+(Z70)</f>
        <v>513.37</v>
      </c>
      <c r="AA71" s="7">
        <f>(((AA65)+(AA66))+(AA67))+(AA70)</f>
        <v>541.66</v>
      </c>
      <c r="AB71" s="7">
        <f t="shared" si="62"/>
        <v>-28.289999999999964</v>
      </c>
      <c r="AC71" s="8">
        <f t="shared" si="63"/>
        <v>0.94777166488202935</v>
      </c>
      <c r="AD71" s="7">
        <f>(((AD65)+(AD66))+(AD67))+(AD70)</f>
        <v>1146.6300000000001</v>
      </c>
      <c r="AE71" s="7">
        <f>(((AE65)+(AE66))+(AE67))+(AE70)</f>
        <v>541.66</v>
      </c>
      <c r="AF71" s="7">
        <f t="shared" si="64"/>
        <v>604.97000000000014</v>
      </c>
      <c r="AG71" s="8">
        <f t="shared" si="65"/>
        <v>2.1168814385407821</v>
      </c>
      <c r="AH71" s="7">
        <f>(((AH65)+(AH66))+(AH67))+(AH70)</f>
        <v>537.81999999999994</v>
      </c>
      <c r="AI71" s="7">
        <f>(((AI65)+(AI66))+(AI67))+(AI70)</f>
        <v>541.66</v>
      </c>
      <c r="AJ71" s="7">
        <f t="shared" si="66"/>
        <v>-3.8400000000000318</v>
      </c>
      <c r="AK71" s="8">
        <f t="shared" si="67"/>
        <v>0.99291068197762433</v>
      </c>
      <c r="AL71" s="7">
        <f>(((AL65)+(AL66))+(AL67))+(AL70)</f>
        <v>441.76</v>
      </c>
      <c r="AM71" s="7">
        <f>(((AM65)+(AM66))+(AM67))+(AM70)</f>
        <v>541.66</v>
      </c>
      <c r="AN71" s="7">
        <f t="shared" si="68"/>
        <v>-99.899999999999977</v>
      </c>
      <c r="AO71" s="7">
        <f>(((AO65)+(AO66))+(AO67))+(AO70)</f>
        <v>0</v>
      </c>
      <c r="AP71" s="7">
        <f>(((AP65)+(AP66))+(AP67))+(AP70)</f>
        <v>541.66</v>
      </c>
      <c r="AQ71" s="7">
        <f t="shared" si="69"/>
        <v>-541.66</v>
      </c>
      <c r="AR71" s="7">
        <f>(((AR65)+(AR66))+(AR67))+(AR70)</f>
        <v>0</v>
      </c>
      <c r="AS71" s="7">
        <f>(((AS65)+(AS66))+(AS67))+(AS70)</f>
        <v>541.74</v>
      </c>
      <c r="AT71" s="7">
        <f t="shared" si="70"/>
        <v>-541.74</v>
      </c>
      <c r="AU71" s="25">
        <f t="shared" si="73"/>
        <v>5759.44</v>
      </c>
      <c r="AV71" s="16">
        <f t="shared" si="46"/>
        <v>6911.3279999999995</v>
      </c>
      <c r="AW71" s="26">
        <f t="shared" si="74"/>
        <v>6499.9999999999991</v>
      </c>
      <c r="AX71" s="16">
        <f t="shared" si="72"/>
        <v>-740.55999999999949</v>
      </c>
      <c r="AY71" s="25">
        <f>BB71</f>
        <v>7847.88</v>
      </c>
      <c r="AZ71" s="18">
        <f>AY71-AW71</f>
        <v>1347.880000000001</v>
      </c>
      <c r="BA71" s="13"/>
      <c r="BB71" s="26">
        <f>SUM(BB65:BB70)</f>
        <v>7847.88</v>
      </c>
    </row>
    <row r="72" spans="1:54" x14ac:dyDescent="0.25">
      <c r="A72" s="3" t="s">
        <v>79</v>
      </c>
      <c r="B72" s="4"/>
      <c r="C72" s="4"/>
      <c r="D72" s="5">
        <f t="shared" si="50"/>
        <v>0</v>
      </c>
      <c r="E72" s="6" t="str">
        <f t="shared" si="51"/>
        <v/>
      </c>
      <c r="F72" s="4"/>
      <c r="G72" s="4"/>
      <c r="H72" s="5">
        <f t="shared" si="52"/>
        <v>0</v>
      </c>
      <c r="I72" s="6" t="str">
        <f t="shared" si="53"/>
        <v/>
      </c>
      <c r="J72" s="4"/>
      <c r="K72" s="4"/>
      <c r="L72" s="5">
        <f t="shared" si="54"/>
        <v>0</v>
      </c>
      <c r="M72" s="6" t="str">
        <f t="shared" si="55"/>
        <v/>
      </c>
      <c r="N72" s="4"/>
      <c r="O72" s="4"/>
      <c r="P72" s="5">
        <f t="shared" si="56"/>
        <v>0</v>
      </c>
      <c r="Q72" s="6" t="str">
        <f t="shared" si="57"/>
        <v/>
      </c>
      <c r="R72" s="4"/>
      <c r="S72" s="4"/>
      <c r="T72" s="5">
        <f t="shared" si="58"/>
        <v>0</v>
      </c>
      <c r="U72" s="6" t="str">
        <f t="shared" si="59"/>
        <v/>
      </c>
      <c r="V72" s="4"/>
      <c r="W72" s="4"/>
      <c r="X72" s="5">
        <f t="shared" si="60"/>
        <v>0</v>
      </c>
      <c r="Y72" s="6" t="str">
        <f t="shared" si="61"/>
        <v/>
      </c>
      <c r="Z72" s="4"/>
      <c r="AA72" s="4"/>
      <c r="AB72" s="5">
        <f t="shared" si="62"/>
        <v>0</v>
      </c>
      <c r="AC72" s="6" t="str">
        <f t="shared" si="63"/>
        <v/>
      </c>
      <c r="AD72" s="4"/>
      <c r="AE72" s="4"/>
      <c r="AF72" s="5">
        <f t="shared" si="64"/>
        <v>0</v>
      </c>
      <c r="AG72" s="6" t="str">
        <f t="shared" si="65"/>
        <v/>
      </c>
      <c r="AH72" s="4"/>
      <c r="AI72" s="4"/>
      <c r="AJ72" s="5">
        <f t="shared" si="66"/>
        <v>0</v>
      </c>
      <c r="AK72" s="6" t="str">
        <f t="shared" si="67"/>
        <v/>
      </c>
      <c r="AL72" s="4"/>
      <c r="AM72" s="4"/>
      <c r="AN72" s="5">
        <f t="shared" si="68"/>
        <v>0</v>
      </c>
      <c r="AO72" s="4"/>
      <c r="AP72" s="4"/>
      <c r="AQ72" s="5">
        <f t="shared" si="69"/>
        <v>0</v>
      </c>
      <c r="AR72" s="4"/>
      <c r="AS72" s="4"/>
      <c r="AT72" s="5">
        <f t="shared" si="70"/>
        <v>0</v>
      </c>
      <c r="AU72" s="23">
        <f t="shared" si="73"/>
        <v>0</v>
      </c>
      <c r="AV72" s="14">
        <f t="shared" si="46"/>
        <v>0</v>
      </c>
      <c r="AW72" s="24">
        <f t="shared" si="74"/>
        <v>0</v>
      </c>
      <c r="AX72" s="14">
        <f t="shared" si="72"/>
        <v>0</v>
      </c>
      <c r="AY72" s="23"/>
      <c r="AZ72" s="14"/>
      <c r="BA72" s="13"/>
      <c r="BB72" s="24"/>
    </row>
    <row r="73" spans="1:54" x14ac:dyDescent="0.25">
      <c r="A73" s="3" t="s">
        <v>80</v>
      </c>
      <c r="B73" s="5">
        <f>26</f>
        <v>26</v>
      </c>
      <c r="C73" s="5">
        <f>270.83</f>
        <v>270.83</v>
      </c>
      <c r="D73" s="5">
        <f t="shared" si="50"/>
        <v>-244.82999999999998</v>
      </c>
      <c r="E73" s="6">
        <f t="shared" si="51"/>
        <v>9.6001181553003731E-2</v>
      </c>
      <c r="F73" s="5">
        <f>0</f>
        <v>0</v>
      </c>
      <c r="G73" s="5">
        <f>270.83</f>
        <v>270.83</v>
      </c>
      <c r="H73" s="5">
        <f t="shared" si="52"/>
        <v>-270.83</v>
      </c>
      <c r="I73" s="6">
        <f t="shared" si="53"/>
        <v>0</v>
      </c>
      <c r="J73" s="5">
        <f>0</f>
        <v>0</v>
      </c>
      <c r="K73" s="5">
        <f>270.83</f>
        <v>270.83</v>
      </c>
      <c r="L73" s="5">
        <f t="shared" si="54"/>
        <v>-270.83</v>
      </c>
      <c r="M73" s="6">
        <f t="shared" si="55"/>
        <v>0</v>
      </c>
      <c r="N73" s="5">
        <f>0</f>
        <v>0</v>
      </c>
      <c r="O73" s="5">
        <f>270.83</f>
        <v>270.83</v>
      </c>
      <c r="P73" s="5">
        <f t="shared" si="56"/>
        <v>-270.83</v>
      </c>
      <c r="Q73" s="6">
        <f t="shared" si="57"/>
        <v>0</v>
      </c>
      <c r="R73" s="5">
        <f>0</f>
        <v>0</v>
      </c>
      <c r="S73" s="5">
        <f>270.83</f>
        <v>270.83</v>
      </c>
      <c r="T73" s="5">
        <f t="shared" si="58"/>
        <v>-270.83</v>
      </c>
      <c r="U73" s="6">
        <f t="shared" si="59"/>
        <v>0</v>
      </c>
      <c r="V73" s="5">
        <f>3250</f>
        <v>3250</v>
      </c>
      <c r="W73" s="5">
        <f>270.83</f>
        <v>270.83</v>
      </c>
      <c r="X73" s="5">
        <f t="shared" si="60"/>
        <v>2979.17</v>
      </c>
      <c r="Y73" s="6">
        <f t="shared" si="61"/>
        <v>12.000147694125467</v>
      </c>
      <c r="Z73" s="5">
        <f>0</f>
        <v>0</v>
      </c>
      <c r="AA73" s="5">
        <f>270.83</f>
        <v>270.83</v>
      </c>
      <c r="AB73" s="5">
        <f t="shared" si="62"/>
        <v>-270.83</v>
      </c>
      <c r="AC73" s="6">
        <f t="shared" si="63"/>
        <v>0</v>
      </c>
      <c r="AD73" s="5">
        <f>0</f>
        <v>0</v>
      </c>
      <c r="AE73" s="5">
        <f>270.83</f>
        <v>270.83</v>
      </c>
      <c r="AF73" s="5">
        <f t="shared" si="64"/>
        <v>-270.83</v>
      </c>
      <c r="AG73" s="6">
        <f t="shared" si="65"/>
        <v>0</v>
      </c>
      <c r="AH73" s="5">
        <f>0</f>
        <v>0</v>
      </c>
      <c r="AI73" s="5">
        <f>270.83</f>
        <v>270.83</v>
      </c>
      <c r="AJ73" s="5">
        <f t="shared" si="66"/>
        <v>-270.83</v>
      </c>
      <c r="AK73" s="6">
        <f t="shared" si="67"/>
        <v>0</v>
      </c>
      <c r="AL73" s="5">
        <f>0</f>
        <v>0</v>
      </c>
      <c r="AM73" s="5">
        <f>270.83</f>
        <v>270.83</v>
      </c>
      <c r="AN73" s="5">
        <f t="shared" si="68"/>
        <v>-270.83</v>
      </c>
      <c r="AO73" s="4"/>
      <c r="AP73" s="5">
        <f>270.83</f>
        <v>270.83</v>
      </c>
      <c r="AQ73" s="5">
        <f t="shared" si="69"/>
        <v>-270.83</v>
      </c>
      <c r="AR73" s="4"/>
      <c r="AS73" s="5">
        <f>270.87</f>
        <v>270.87</v>
      </c>
      <c r="AT73" s="5">
        <f t="shared" si="70"/>
        <v>-270.87</v>
      </c>
      <c r="AU73" s="23">
        <f t="shared" si="73"/>
        <v>3276</v>
      </c>
      <c r="AV73" s="14">
        <f t="shared" si="46"/>
        <v>3931.2000000000003</v>
      </c>
      <c r="AW73" s="24">
        <f t="shared" si="74"/>
        <v>3249.9999999999995</v>
      </c>
      <c r="AX73" s="14">
        <f t="shared" si="72"/>
        <v>26.000000000000455</v>
      </c>
      <c r="AY73" s="23"/>
      <c r="AZ73" s="14"/>
      <c r="BA73" s="13" t="s">
        <v>144</v>
      </c>
      <c r="BB73" s="24">
        <v>5000</v>
      </c>
    </row>
    <row r="74" spans="1:54" x14ac:dyDescent="0.25">
      <c r="A74" s="3" t="s">
        <v>81</v>
      </c>
      <c r="B74" s="5">
        <f>14</f>
        <v>14</v>
      </c>
      <c r="C74" s="5">
        <f>145.83</f>
        <v>145.83000000000001</v>
      </c>
      <c r="D74" s="5">
        <f t="shared" si="50"/>
        <v>-131.83000000000001</v>
      </c>
      <c r="E74" s="6">
        <f t="shared" si="51"/>
        <v>9.6002194335870525E-2</v>
      </c>
      <c r="F74" s="5">
        <f>0</f>
        <v>0</v>
      </c>
      <c r="G74" s="5">
        <f>145.83</f>
        <v>145.83000000000001</v>
      </c>
      <c r="H74" s="5">
        <f t="shared" si="52"/>
        <v>-145.83000000000001</v>
      </c>
      <c r="I74" s="6">
        <f t="shared" si="53"/>
        <v>0</v>
      </c>
      <c r="J74" s="5">
        <f>0</f>
        <v>0</v>
      </c>
      <c r="K74" s="5">
        <f>145.83</f>
        <v>145.83000000000001</v>
      </c>
      <c r="L74" s="5">
        <f t="shared" si="54"/>
        <v>-145.83000000000001</v>
      </c>
      <c r="M74" s="6">
        <f t="shared" si="55"/>
        <v>0</v>
      </c>
      <c r="N74" s="5">
        <f>0</f>
        <v>0</v>
      </c>
      <c r="O74" s="5">
        <f>145.83</f>
        <v>145.83000000000001</v>
      </c>
      <c r="P74" s="5">
        <f t="shared" si="56"/>
        <v>-145.83000000000001</v>
      </c>
      <c r="Q74" s="6">
        <f t="shared" si="57"/>
        <v>0</v>
      </c>
      <c r="R74" s="5">
        <f>0</f>
        <v>0</v>
      </c>
      <c r="S74" s="5">
        <f>145.83</f>
        <v>145.83000000000001</v>
      </c>
      <c r="T74" s="5">
        <f t="shared" si="58"/>
        <v>-145.83000000000001</v>
      </c>
      <c r="U74" s="6">
        <f t="shared" si="59"/>
        <v>0</v>
      </c>
      <c r="V74" s="5">
        <f>1750</f>
        <v>1750</v>
      </c>
      <c r="W74" s="5">
        <f>145.83</f>
        <v>145.83000000000001</v>
      </c>
      <c r="X74" s="5">
        <f t="shared" si="60"/>
        <v>1604.17</v>
      </c>
      <c r="Y74" s="6">
        <f t="shared" si="61"/>
        <v>12.000274291983816</v>
      </c>
      <c r="Z74" s="5">
        <f>0</f>
        <v>0</v>
      </c>
      <c r="AA74" s="5">
        <f>145.83</f>
        <v>145.83000000000001</v>
      </c>
      <c r="AB74" s="5">
        <f t="shared" si="62"/>
        <v>-145.83000000000001</v>
      </c>
      <c r="AC74" s="6">
        <f t="shared" si="63"/>
        <v>0</v>
      </c>
      <c r="AD74" s="5">
        <f>0</f>
        <v>0</v>
      </c>
      <c r="AE74" s="5">
        <f>145.83</f>
        <v>145.83000000000001</v>
      </c>
      <c r="AF74" s="5">
        <f t="shared" si="64"/>
        <v>-145.83000000000001</v>
      </c>
      <c r="AG74" s="6">
        <f t="shared" si="65"/>
        <v>0</v>
      </c>
      <c r="AH74" s="5">
        <f>0</f>
        <v>0</v>
      </c>
      <c r="AI74" s="5">
        <f>145.83</f>
        <v>145.83000000000001</v>
      </c>
      <c r="AJ74" s="5">
        <f t="shared" si="66"/>
        <v>-145.83000000000001</v>
      </c>
      <c r="AK74" s="6">
        <f t="shared" si="67"/>
        <v>0</v>
      </c>
      <c r="AL74" s="5">
        <f>0</f>
        <v>0</v>
      </c>
      <c r="AM74" s="5">
        <f>145.83</f>
        <v>145.83000000000001</v>
      </c>
      <c r="AN74" s="5">
        <f t="shared" si="68"/>
        <v>-145.83000000000001</v>
      </c>
      <c r="AO74" s="4"/>
      <c r="AP74" s="5">
        <f>145.83</f>
        <v>145.83000000000001</v>
      </c>
      <c r="AQ74" s="5">
        <f t="shared" si="69"/>
        <v>-145.83000000000001</v>
      </c>
      <c r="AR74" s="4"/>
      <c r="AS74" s="5">
        <f>145.87</f>
        <v>145.87</v>
      </c>
      <c r="AT74" s="5">
        <f t="shared" si="70"/>
        <v>-145.87</v>
      </c>
      <c r="AU74" s="23">
        <f t="shared" si="73"/>
        <v>1764</v>
      </c>
      <c r="AV74" s="14">
        <f t="shared" si="46"/>
        <v>2116.8000000000002</v>
      </c>
      <c r="AW74" s="24">
        <f t="shared" si="74"/>
        <v>1750</v>
      </c>
      <c r="AX74" s="14">
        <f t="shared" si="72"/>
        <v>14</v>
      </c>
      <c r="AY74" s="23"/>
      <c r="AZ74" s="14"/>
      <c r="BA74" s="13"/>
      <c r="BB74" s="24"/>
    </row>
    <row r="75" spans="1:54" x14ac:dyDescent="0.25">
      <c r="A75" s="3" t="s">
        <v>82</v>
      </c>
      <c r="B75" s="5">
        <f>0</f>
        <v>0</v>
      </c>
      <c r="C75" s="4"/>
      <c r="D75" s="5">
        <f t="shared" si="50"/>
        <v>0</v>
      </c>
      <c r="E75" s="6" t="str">
        <f t="shared" si="51"/>
        <v/>
      </c>
      <c r="F75" s="5">
        <f>0</f>
        <v>0</v>
      </c>
      <c r="G75" s="4"/>
      <c r="H75" s="5">
        <f t="shared" si="52"/>
        <v>0</v>
      </c>
      <c r="I75" s="6" t="str">
        <f t="shared" si="53"/>
        <v/>
      </c>
      <c r="J75" s="5">
        <f>0</f>
        <v>0</v>
      </c>
      <c r="K75" s="4"/>
      <c r="L75" s="5">
        <f t="shared" si="54"/>
        <v>0</v>
      </c>
      <c r="M75" s="6" t="str">
        <f t="shared" si="55"/>
        <v/>
      </c>
      <c r="N75" s="5">
        <f>0</f>
        <v>0</v>
      </c>
      <c r="O75" s="4"/>
      <c r="P75" s="5">
        <f t="shared" si="56"/>
        <v>0</v>
      </c>
      <c r="Q75" s="6" t="str">
        <f t="shared" si="57"/>
        <v/>
      </c>
      <c r="R75" s="5">
        <f>0</f>
        <v>0</v>
      </c>
      <c r="S75" s="4"/>
      <c r="T75" s="5">
        <f t="shared" si="58"/>
        <v>0</v>
      </c>
      <c r="U75" s="6" t="str">
        <f t="shared" si="59"/>
        <v/>
      </c>
      <c r="V75" s="5">
        <f>0</f>
        <v>0</v>
      </c>
      <c r="W75" s="4"/>
      <c r="X75" s="5">
        <f t="shared" si="60"/>
        <v>0</v>
      </c>
      <c r="Y75" s="6" t="str">
        <f t="shared" si="61"/>
        <v/>
      </c>
      <c r="Z75" s="5">
        <f>0</f>
        <v>0</v>
      </c>
      <c r="AA75" s="4"/>
      <c r="AB75" s="5">
        <f t="shared" si="62"/>
        <v>0</v>
      </c>
      <c r="AC75" s="6" t="str">
        <f t="shared" si="63"/>
        <v/>
      </c>
      <c r="AD75" s="5">
        <f>0</f>
        <v>0</v>
      </c>
      <c r="AE75" s="4"/>
      <c r="AF75" s="5">
        <f t="shared" si="64"/>
        <v>0</v>
      </c>
      <c r="AG75" s="6" t="str">
        <f t="shared" si="65"/>
        <v/>
      </c>
      <c r="AH75" s="5">
        <f>0</f>
        <v>0</v>
      </c>
      <c r="AI75" s="4"/>
      <c r="AJ75" s="5">
        <f t="shared" si="66"/>
        <v>0</v>
      </c>
      <c r="AK75" s="6" t="str">
        <f t="shared" si="67"/>
        <v/>
      </c>
      <c r="AL75" s="5">
        <f>0</f>
        <v>0</v>
      </c>
      <c r="AM75" s="4"/>
      <c r="AN75" s="5">
        <f t="shared" si="68"/>
        <v>0</v>
      </c>
      <c r="AO75" s="4"/>
      <c r="AP75" s="4"/>
      <c r="AQ75" s="5">
        <f t="shared" si="69"/>
        <v>0</v>
      </c>
      <c r="AR75" s="4"/>
      <c r="AS75" s="4"/>
      <c r="AT75" s="5">
        <f t="shared" si="70"/>
        <v>0</v>
      </c>
      <c r="AU75" s="23">
        <f t="shared" si="73"/>
        <v>0</v>
      </c>
      <c r="AV75" s="14">
        <f t="shared" si="46"/>
        <v>0</v>
      </c>
      <c r="AW75" s="24">
        <f t="shared" si="74"/>
        <v>0</v>
      </c>
      <c r="AX75" s="14">
        <f t="shared" si="72"/>
        <v>0</v>
      </c>
      <c r="AY75" s="23"/>
      <c r="AZ75" s="14"/>
      <c r="BA75" s="13"/>
      <c r="BB75" s="24"/>
    </row>
    <row r="76" spans="1:54" x14ac:dyDescent="0.25">
      <c r="A76" s="3" t="s">
        <v>83</v>
      </c>
      <c r="B76" s="7">
        <f>(((B72)+(B73))+(B74))+(B75)</f>
        <v>40</v>
      </c>
      <c r="C76" s="7">
        <f>(((C72)+(C73))+(C74))+(C75)</f>
        <v>416.65999999999997</v>
      </c>
      <c r="D76" s="7">
        <f t="shared" si="50"/>
        <v>-376.65999999999997</v>
      </c>
      <c r="E76" s="8">
        <f t="shared" si="51"/>
        <v>9.6001536024576395E-2</v>
      </c>
      <c r="F76" s="7">
        <f>(((F72)+(F73))+(F74))+(F75)</f>
        <v>0</v>
      </c>
      <c r="G76" s="7">
        <f>(((G72)+(G73))+(G74))+(G75)</f>
        <v>416.65999999999997</v>
      </c>
      <c r="H76" s="7">
        <f t="shared" si="52"/>
        <v>-416.65999999999997</v>
      </c>
      <c r="I76" s="8">
        <f t="shared" si="53"/>
        <v>0</v>
      </c>
      <c r="J76" s="7">
        <f>(((J72)+(J73))+(J74))+(J75)</f>
        <v>0</v>
      </c>
      <c r="K76" s="7">
        <f>(((K72)+(K73))+(K74))+(K75)</f>
        <v>416.65999999999997</v>
      </c>
      <c r="L76" s="7">
        <f t="shared" si="54"/>
        <v>-416.65999999999997</v>
      </c>
      <c r="M76" s="8">
        <f t="shared" si="55"/>
        <v>0</v>
      </c>
      <c r="N76" s="7">
        <f>(((N72)+(N73))+(N74))+(N75)</f>
        <v>0</v>
      </c>
      <c r="O76" s="7">
        <f>(((O72)+(O73))+(O74))+(O75)</f>
        <v>416.65999999999997</v>
      </c>
      <c r="P76" s="7">
        <f t="shared" si="56"/>
        <v>-416.65999999999997</v>
      </c>
      <c r="Q76" s="8">
        <f t="shared" si="57"/>
        <v>0</v>
      </c>
      <c r="R76" s="7">
        <f>(((R72)+(R73))+(R74))+(R75)</f>
        <v>0</v>
      </c>
      <c r="S76" s="7">
        <f>(((S72)+(S73))+(S74))+(S75)</f>
        <v>416.65999999999997</v>
      </c>
      <c r="T76" s="7">
        <f t="shared" si="58"/>
        <v>-416.65999999999997</v>
      </c>
      <c r="U76" s="8">
        <f t="shared" si="59"/>
        <v>0</v>
      </c>
      <c r="V76" s="7">
        <f>(((V72)+(V73))+(V74))+(V75)</f>
        <v>5000</v>
      </c>
      <c r="W76" s="7">
        <f>(((W72)+(W73))+(W74))+(W75)</f>
        <v>416.65999999999997</v>
      </c>
      <c r="X76" s="7">
        <f t="shared" si="60"/>
        <v>4583.34</v>
      </c>
      <c r="Y76" s="8">
        <f t="shared" si="61"/>
        <v>12.000192003072049</v>
      </c>
      <c r="Z76" s="7">
        <f>(((Z72)+(Z73))+(Z74))+(Z75)</f>
        <v>0</v>
      </c>
      <c r="AA76" s="7">
        <f>(((AA72)+(AA73))+(AA74))+(AA75)</f>
        <v>416.65999999999997</v>
      </c>
      <c r="AB76" s="7">
        <f t="shared" si="62"/>
        <v>-416.65999999999997</v>
      </c>
      <c r="AC76" s="8">
        <f t="shared" si="63"/>
        <v>0</v>
      </c>
      <c r="AD76" s="7">
        <f>(((AD72)+(AD73))+(AD74))+(AD75)</f>
        <v>0</v>
      </c>
      <c r="AE76" s="7">
        <f>(((AE72)+(AE73))+(AE74))+(AE75)</f>
        <v>416.65999999999997</v>
      </c>
      <c r="AF76" s="7">
        <f t="shared" si="64"/>
        <v>-416.65999999999997</v>
      </c>
      <c r="AG76" s="8">
        <f t="shared" si="65"/>
        <v>0</v>
      </c>
      <c r="AH76" s="7">
        <f>(((AH72)+(AH73))+(AH74))+(AH75)</f>
        <v>0</v>
      </c>
      <c r="AI76" s="7">
        <f>(((AI72)+(AI73))+(AI74))+(AI75)</f>
        <v>416.65999999999997</v>
      </c>
      <c r="AJ76" s="7">
        <f t="shared" si="66"/>
        <v>-416.65999999999997</v>
      </c>
      <c r="AK76" s="8">
        <f t="shared" si="67"/>
        <v>0</v>
      </c>
      <c r="AL76" s="7">
        <f>(((AL72)+(AL73))+(AL74))+(AL75)</f>
        <v>0</v>
      </c>
      <c r="AM76" s="7">
        <f>(((AM72)+(AM73))+(AM74))+(AM75)</f>
        <v>416.65999999999997</v>
      </c>
      <c r="AN76" s="7">
        <f t="shared" si="68"/>
        <v>-416.65999999999997</v>
      </c>
      <c r="AO76" s="7">
        <f>(((AO72)+(AO73))+(AO74))+(AO75)</f>
        <v>0</v>
      </c>
      <c r="AP76" s="7">
        <f>(((AP72)+(AP73))+(AP74))+(AP75)</f>
        <v>416.65999999999997</v>
      </c>
      <c r="AQ76" s="7">
        <f t="shared" si="69"/>
        <v>-416.65999999999997</v>
      </c>
      <c r="AR76" s="7">
        <f>(((AR72)+(AR73))+(AR74))+(AR75)</f>
        <v>0</v>
      </c>
      <c r="AS76" s="7">
        <f>(((AS72)+(AS73))+(AS74))+(AS75)</f>
        <v>416.74</v>
      </c>
      <c r="AT76" s="7">
        <f t="shared" si="70"/>
        <v>-416.74</v>
      </c>
      <c r="AU76" s="25">
        <f t="shared" si="73"/>
        <v>5040</v>
      </c>
      <c r="AV76" s="16">
        <f t="shared" si="46"/>
        <v>6048</v>
      </c>
      <c r="AW76" s="26">
        <f t="shared" si="74"/>
        <v>4999.9999999999991</v>
      </c>
      <c r="AX76" s="16">
        <f t="shared" si="72"/>
        <v>40.000000000000909</v>
      </c>
      <c r="AY76" s="25">
        <f>BB76</f>
        <v>5000</v>
      </c>
      <c r="AZ76" s="18">
        <f>AY76-AW76</f>
        <v>0</v>
      </c>
      <c r="BA76" s="13"/>
      <c r="BB76" s="26">
        <f>BB73</f>
        <v>5000</v>
      </c>
    </row>
    <row r="77" spans="1:54" x14ac:dyDescent="0.25">
      <c r="A77" s="3" t="s">
        <v>84</v>
      </c>
      <c r="B77" s="4"/>
      <c r="C77" s="4"/>
      <c r="D77" s="5">
        <f t="shared" si="50"/>
        <v>0</v>
      </c>
      <c r="E77" s="6" t="str">
        <f t="shared" si="51"/>
        <v/>
      </c>
      <c r="F77" s="4"/>
      <c r="G77" s="4"/>
      <c r="H77" s="5">
        <f t="shared" si="52"/>
        <v>0</v>
      </c>
      <c r="I77" s="6" t="str">
        <f t="shared" si="53"/>
        <v/>
      </c>
      <c r="J77" s="4"/>
      <c r="K77" s="4"/>
      <c r="L77" s="5">
        <f t="shared" si="54"/>
        <v>0</v>
      </c>
      <c r="M77" s="6" t="str">
        <f t="shared" si="55"/>
        <v/>
      </c>
      <c r="N77" s="4"/>
      <c r="O77" s="4"/>
      <c r="P77" s="5">
        <f t="shared" si="56"/>
        <v>0</v>
      </c>
      <c r="Q77" s="6" t="str">
        <f t="shared" si="57"/>
        <v/>
      </c>
      <c r="R77" s="4"/>
      <c r="S77" s="4"/>
      <c r="T77" s="5">
        <f t="shared" si="58"/>
        <v>0</v>
      </c>
      <c r="U77" s="6" t="str">
        <f t="shared" si="59"/>
        <v/>
      </c>
      <c r="V77" s="4"/>
      <c r="W77" s="4"/>
      <c r="X77" s="5">
        <f t="shared" si="60"/>
        <v>0</v>
      </c>
      <c r="Y77" s="6" t="str">
        <f t="shared" si="61"/>
        <v/>
      </c>
      <c r="Z77" s="4"/>
      <c r="AA77" s="4"/>
      <c r="AB77" s="5">
        <f t="shared" si="62"/>
        <v>0</v>
      </c>
      <c r="AC77" s="6" t="str">
        <f t="shared" si="63"/>
        <v/>
      </c>
      <c r="AD77" s="4"/>
      <c r="AE77" s="4"/>
      <c r="AF77" s="5">
        <f t="shared" si="64"/>
        <v>0</v>
      </c>
      <c r="AG77" s="6" t="str">
        <f t="shared" si="65"/>
        <v/>
      </c>
      <c r="AH77" s="4"/>
      <c r="AI77" s="4"/>
      <c r="AJ77" s="5">
        <f t="shared" si="66"/>
        <v>0</v>
      </c>
      <c r="AK77" s="6" t="str">
        <f t="shared" si="67"/>
        <v/>
      </c>
      <c r="AL77" s="4"/>
      <c r="AM77" s="4"/>
      <c r="AN77" s="5">
        <f t="shared" si="68"/>
        <v>0</v>
      </c>
      <c r="AO77" s="4"/>
      <c r="AP77" s="4"/>
      <c r="AQ77" s="5">
        <f t="shared" si="69"/>
        <v>0</v>
      </c>
      <c r="AR77" s="4"/>
      <c r="AS77" s="4"/>
      <c r="AT77" s="5">
        <f t="shared" si="70"/>
        <v>0</v>
      </c>
      <c r="AU77" s="23">
        <f t="shared" si="73"/>
        <v>0</v>
      </c>
      <c r="AV77" s="14">
        <f t="shared" si="46"/>
        <v>0</v>
      </c>
      <c r="AW77" s="24">
        <f t="shared" si="74"/>
        <v>0</v>
      </c>
      <c r="AX77" s="14">
        <f t="shared" si="72"/>
        <v>0</v>
      </c>
      <c r="AY77" s="23"/>
      <c r="AZ77" s="14"/>
      <c r="BA77" s="13"/>
      <c r="BB77" s="24"/>
    </row>
    <row r="78" spans="1:54" x14ac:dyDescent="0.25">
      <c r="A78" s="3" t="s">
        <v>85</v>
      </c>
      <c r="B78" s="5">
        <f>103.14</f>
        <v>103.14</v>
      </c>
      <c r="C78" s="5">
        <f>238.33</f>
        <v>238.33</v>
      </c>
      <c r="D78" s="5">
        <f t="shared" si="50"/>
        <v>-135.19</v>
      </c>
      <c r="E78" s="6">
        <f t="shared" si="51"/>
        <v>0.43276129736080221</v>
      </c>
      <c r="F78" s="5">
        <f>521.47</f>
        <v>521.47</v>
      </c>
      <c r="G78" s="5">
        <f>238.33</f>
        <v>238.33</v>
      </c>
      <c r="H78" s="5">
        <f t="shared" si="52"/>
        <v>283.14</v>
      </c>
      <c r="I78" s="6">
        <f t="shared" si="53"/>
        <v>2.1880166156170016</v>
      </c>
      <c r="J78" s="5">
        <f>525.47</f>
        <v>525.47</v>
      </c>
      <c r="K78" s="5">
        <f>238.33</f>
        <v>238.33</v>
      </c>
      <c r="L78" s="5">
        <f t="shared" si="54"/>
        <v>287.14</v>
      </c>
      <c r="M78" s="6">
        <f t="shared" si="55"/>
        <v>2.2048000671338062</v>
      </c>
      <c r="N78" s="5">
        <f>0</f>
        <v>0</v>
      </c>
      <c r="O78" s="5">
        <f>238.33</f>
        <v>238.33</v>
      </c>
      <c r="P78" s="5">
        <f t="shared" si="56"/>
        <v>-238.33</v>
      </c>
      <c r="Q78" s="6">
        <f t="shared" si="57"/>
        <v>0</v>
      </c>
      <c r="R78" s="5">
        <f>184.08</f>
        <v>184.08</v>
      </c>
      <c r="S78" s="5">
        <f>238.33</f>
        <v>238.33</v>
      </c>
      <c r="T78" s="5">
        <f t="shared" si="58"/>
        <v>-54.25</v>
      </c>
      <c r="U78" s="6">
        <f t="shared" si="59"/>
        <v>0.77237443880333989</v>
      </c>
      <c r="V78" s="5">
        <f>-304.33</f>
        <v>-304.33</v>
      </c>
      <c r="W78" s="5">
        <f>238.33</f>
        <v>238.33</v>
      </c>
      <c r="X78" s="5">
        <f t="shared" si="60"/>
        <v>-542.66</v>
      </c>
      <c r="Y78" s="6">
        <f t="shared" si="61"/>
        <v>-1.2769269500272731</v>
      </c>
      <c r="Z78" s="5">
        <f>93.6</f>
        <v>93.6</v>
      </c>
      <c r="AA78" s="5">
        <f>238.33</f>
        <v>238.33</v>
      </c>
      <c r="AB78" s="5">
        <f t="shared" si="62"/>
        <v>-144.73000000000002</v>
      </c>
      <c r="AC78" s="6">
        <f t="shared" si="63"/>
        <v>0.39273276549322361</v>
      </c>
      <c r="AD78" s="5">
        <f>96.72</f>
        <v>96.72</v>
      </c>
      <c r="AE78" s="5">
        <f>238.33</f>
        <v>238.33</v>
      </c>
      <c r="AF78" s="5">
        <f t="shared" si="64"/>
        <v>-141.61000000000001</v>
      </c>
      <c r="AG78" s="6">
        <f t="shared" si="65"/>
        <v>0.40582385767633111</v>
      </c>
      <c r="AH78" s="5">
        <f>93.6</f>
        <v>93.6</v>
      </c>
      <c r="AI78" s="5">
        <f>238.33</f>
        <v>238.33</v>
      </c>
      <c r="AJ78" s="5">
        <f t="shared" si="66"/>
        <v>-144.73000000000002</v>
      </c>
      <c r="AK78" s="6">
        <f t="shared" si="67"/>
        <v>0.39273276549322361</v>
      </c>
      <c r="AL78" s="5">
        <f>96.72</f>
        <v>96.72</v>
      </c>
      <c r="AM78" s="5">
        <f>238.33</f>
        <v>238.33</v>
      </c>
      <c r="AN78" s="5">
        <f t="shared" si="68"/>
        <v>-141.61000000000001</v>
      </c>
      <c r="AO78" s="4"/>
      <c r="AP78" s="5">
        <f>238.33</f>
        <v>238.33</v>
      </c>
      <c r="AQ78" s="5">
        <f t="shared" si="69"/>
        <v>-238.33</v>
      </c>
      <c r="AR78" s="4"/>
      <c r="AS78" s="5">
        <f>238.37</f>
        <v>238.37</v>
      </c>
      <c r="AT78" s="5">
        <f t="shared" si="70"/>
        <v>-238.37</v>
      </c>
      <c r="AU78" s="23">
        <f t="shared" si="73"/>
        <v>1410.4699999999998</v>
      </c>
      <c r="AV78" s="14">
        <f t="shared" si="46"/>
        <v>1692.5639999999996</v>
      </c>
      <c r="AW78" s="24">
        <f t="shared" si="74"/>
        <v>2859.9999999999995</v>
      </c>
      <c r="AX78" s="14">
        <f t="shared" si="72"/>
        <v>-1449.5299999999997</v>
      </c>
      <c r="AY78" s="23"/>
      <c r="AZ78" s="14"/>
      <c r="BA78" s="13" t="s">
        <v>164</v>
      </c>
      <c r="BB78" s="24">
        <f>898*1.04</f>
        <v>933.92000000000007</v>
      </c>
    </row>
    <row r="79" spans="1:54" x14ac:dyDescent="0.25">
      <c r="A79" s="3" t="s">
        <v>86</v>
      </c>
      <c r="B79" s="5">
        <f>55.54</f>
        <v>55.54</v>
      </c>
      <c r="C79" s="5">
        <f>128.33</f>
        <v>128.33000000000001</v>
      </c>
      <c r="D79" s="5">
        <f t="shared" si="50"/>
        <v>-72.79000000000002</v>
      </c>
      <c r="E79" s="6">
        <f t="shared" si="51"/>
        <v>0.43279046208992439</v>
      </c>
      <c r="F79" s="5">
        <f>280.79</f>
        <v>280.79000000000002</v>
      </c>
      <c r="G79" s="5">
        <f>128.33</f>
        <v>128.33000000000001</v>
      </c>
      <c r="H79" s="5">
        <f t="shared" si="52"/>
        <v>152.46</v>
      </c>
      <c r="I79" s="6">
        <f t="shared" si="53"/>
        <v>2.1880308579443621</v>
      </c>
      <c r="J79" s="5">
        <f>282.95</f>
        <v>282.95</v>
      </c>
      <c r="K79" s="5">
        <f>128.33</f>
        <v>128.33000000000001</v>
      </c>
      <c r="L79" s="5">
        <f t="shared" si="54"/>
        <v>154.61999999999998</v>
      </c>
      <c r="M79" s="6">
        <f t="shared" si="55"/>
        <v>2.2048624639601027</v>
      </c>
      <c r="N79" s="5">
        <f>0</f>
        <v>0</v>
      </c>
      <c r="O79" s="5">
        <f>128.33</f>
        <v>128.33000000000001</v>
      </c>
      <c r="P79" s="5">
        <f t="shared" si="56"/>
        <v>-128.33000000000001</v>
      </c>
      <c r="Q79" s="6">
        <f t="shared" si="57"/>
        <v>0</v>
      </c>
      <c r="R79" s="5">
        <f>99.12</f>
        <v>99.12</v>
      </c>
      <c r="S79" s="5">
        <f>128.33</f>
        <v>128.33000000000001</v>
      </c>
      <c r="T79" s="5">
        <f t="shared" si="58"/>
        <v>-29.210000000000008</v>
      </c>
      <c r="U79" s="6">
        <f t="shared" si="59"/>
        <v>0.77238369827787734</v>
      </c>
      <c r="V79" s="5">
        <f>-163.87</f>
        <v>-163.87</v>
      </c>
      <c r="W79" s="5">
        <f>128.33</f>
        <v>128.33000000000001</v>
      </c>
      <c r="X79" s="5">
        <f t="shared" si="60"/>
        <v>-292.20000000000005</v>
      </c>
      <c r="Y79" s="6">
        <f t="shared" si="61"/>
        <v>-1.2769422582404737</v>
      </c>
      <c r="Z79" s="5">
        <f>50.4</f>
        <v>50.4</v>
      </c>
      <c r="AA79" s="5">
        <f>128.33</f>
        <v>128.33000000000001</v>
      </c>
      <c r="AB79" s="5">
        <f t="shared" si="62"/>
        <v>-77.930000000000007</v>
      </c>
      <c r="AC79" s="6">
        <f t="shared" si="63"/>
        <v>0.39273747370061557</v>
      </c>
      <c r="AD79" s="5">
        <f>52.08</f>
        <v>52.08</v>
      </c>
      <c r="AE79" s="5">
        <f>128.33</f>
        <v>128.33000000000001</v>
      </c>
      <c r="AF79" s="5">
        <f t="shared" si="64"/>
        <v>-76.250000000000014</v>
      </c>
      <c r="AG79" s="6">
        <f t="shared" si="65"/>
        <v>0.40582872282396942</v>
      </c>
      <c r="AH79" s="5">
        <f>50.4</f>
        <v>50.4</v>
      </c>
      <c r="AI79" s="5">
        <f>128.33</f>
        <v>128.33000000000001</v>
      </c>
      <c r="AJ79" s="5">
        <f t="shared" si="66"/>
        <v>-77.930000000000007</v>
      </c>
      <c r="AK79" s="6">
        <f t="shared" si="67"/>
        <v>0.39273747370061557</v>
      </c>
      <c r="AL79" s="5">
        <f>52.08</f>
        <v>52.08</v>
      </c>
      <c r="AM79" s="5">
        <f>128.33</f>
        <v>128.33000000000001</v>
      </c>
      <c r="AN79" s="5">
        <f t="shared" si="68"/>
        <v>-76.250000000000014</v>
      </c>
      <c r="AO79" s="4"/>
      <c r="AP79" s="5">
        <f>128.33</f>
        <v>128.33000000000001</v>
      </c>
      <c r="AQ79" s="5">
        <f t="shared" si="69"/>
        <v>-128.33000000000001</v>
      </c>
      <c r="AR79" s="4"/>
      <c r="AS79" s="5">
        <f>128.37</f>
        <v>128.37</v>
      </c>
      <c r="AT79" s="5">
        <f t="shared" si="70"/>
        <v>-128.37</v>
      </c>
      <c r="AU79" s="23">
        <f t="shared" si="73"/>
        <v>759.49</v>
      </c>
      <c r="AV79" s="14">
        <f t="shared" si="46"/>
        <v>911.38799999999992</v>
      </c>
      <c r="AW79" s="24">
        <f t="shared" si="74"/>
        <v>1540</v>
      </c>
      <c r="AX79" s="14">
        <f t="shared" si="72"/>
        <v>-780.51</v>
      </c>
      <c r="AY79" s="23"/>
      <c r="AZ79" s="14"/>
      <c r="BA79" s="13" t="s">
        <v>163</v>
      </c>
      <c r="BB79" s="24">
        <f>854*1.04</f>
        <v>888.16000000000008</v>
      </c>
    </row>
    <row r="80" spans="1:54" x14ac:dyDescent="0.25">
      <c r="A80" s="3" t="s">
        <v>87</v>
      </c>
      <c r="B80" s="5">
        <f>0</f>
        <v>0</v>
      </c>
      <c r="C80" s="4"/>
      <c r="D80" s="5">
        <f t="shared" si="50"/>
        <v>0</v>
      </c>
      <c r="E80" s="6" t="str">
        <f t="shared" si="51"/>
        <v/>
      </c>
      <c r="F80" s="5">
        <f>-617</f>
        <v>-617</v>
      </c>
      <c r="G80" s="4"/>
      <c r="H80" s="5">
        <f t="shared" si="52"/>
        <v>-617</v>
      </c>
      <c r="I80" s="6" t="str">
        <f t="shared" si="53"/>
        <v/>
      </c>
      <c r="J80" s="5">
        <f>0</f>
        <v>0</v>
      </c>
      <c r="K80" s="4"/>
      <c r="L80" s="5">
        <f t="shared" si="54"/>
        <v>0</v>
      </c>
      <c r="M80" s="6" t="str">
        <f t="shared" si="55"/>
        <v/>
      </c>
      <c r="N80" s="5">
        <f>0</f>
        <v>0</v>
      </c>
      <c r="O80" s="4"/>
      <c r="P80" s="5">
        <f t="shared" si="56"/>
        <v>0</v>
      </c>
      <c r="Q80" s="6" t="str">
        <f t="shared" si="57"/>
        <v/>
      </c>
      <c r="R80" s="5">
        <f>0</f>
        <v>0</v>
      </c>
      <c r="S80" s="4"/>
      <c r="T80" s="5">
        <f t="shared" si="58"/>
        <v>0</v>
      </c>
      <c r="U80" s="6" t="str">
        <f t="shared" si="59"/>
        <v/>
      </c>
      <c r="V80" s="5">
        <f>617</f>
        <v>617</v>
      </c>
      <c r="W80" s="4"/>
      <c r="X80" s="5">
        <f t="shared" si="60"/>
        <v>617</v>
      </c>
      <c r="Y80" s="6" t="str">
        <f t="shared" si="61"/>
        <v/>
      </c>
      <c r="Z80" s="5">
        <f>0</f>
        <v>0</v>
      </c>
      <c r="AA80" s="4"/>
      <c r="AB80" s="5">
        <f t="shared" si="62"/>
        <v>0</v>
      </c>
      <c r="AC80" s="6" t="str">
        <f t="shared" si="63"/>
        <v/>
      </c>
      <c r="AD80" s="5">
        <f>0</f>
        <v>0</v>
      </c>
      <c r="AE80" s="4"/>
      <c r="AF80" s="5">
        <f t="shared" si="64"/>
        <v>0</v>
      </c>
      <c r="AG80" s="6" t="str">
        <f t="shared" si="65"/>
        <v/>
      </c>
      <c r="AH80" s="5">
        <f>0</f>
        <v>0</v>
      </c>
      <c r="AI80" s="4"/>
      <c r="AJ80" s="5">
        <f t="shared" si="66"/>
        <v>0</v>
      </c>
      <c r="AK80" s="6" t="str">
        <f t="shared" si="67"/>
        <v/>
      </c>
      <c r="AL80" s="5">
        <f>0</f>
        <v>0</v>
      </c>
      <c r="AM80" s="4"/>
      <c r="AN80" s="5">
        <f t="shared" si="68"/>
        <v>0</v>
      </c>
      <c r="AO80" s="4"/>
      <c r="AP80" s="4"/>
      <c r="AQ80" s="5">
        <f t="shared" si="69"/>
        <v>0</v>
      </c>
      <c r="AR80" s="4"/>
      <c r="AS80" s="4"/>
      <c r="AT80" s="5">
        <f t="shared" si="70"/>
        <v>0</v>
      </c>
      <c r="AU80" s="23">
        <f t="shared" si="73"/>
        <v>0</v>
      </c>
      <c r="AV80" s="14">
        <f t="shared" si="46"/>
        <v>0</v>
      </c>
      <c r="AW80" s="24">
        <f t="shared" si="74"/>
        <v>0</v>
      </c>
      <c r="AX80" s="14">
        <f t="shared" si="72"/>
        <v>0</v>
      </c>
      <c r="AY80" s="23"/>
      <c r="AZ80" s="14"/>
      <c r="BA80" s="13" t="s">
        <v>162</v>
      </c>
      <c r="BB80" s="24">
        <f>617*1.04</f>
        <v>641.68000000000006</v>
      </c>
    </row>
    <row r="81" spans="1:54" x14ac:dyDescent="0.25">
      <c r="A81" s="3" t="s">
        <v>88</v>
      </c>
      <c r="B81" s="7">
        <f>(((B77)+(B78))+(B79))+(B80)</f>
        <v>158.68</v>
      </c>
      <c r="C81" s="7">
        <f>(((C77)+(C78))+(C79))+(C80)</f>
        <v>366.66</v>
      </c>
      <c r="D81" s="7">
        <f t="shared" ref="D81:D112" si="75">(B81)-(C81)</f>
        <v>-207.98000000000002</v>
      </c>
      <c r="E81" s="8">
        <f t="shared" ref="E81:E112" si="76">IF(C81=0,"",(B81)/(C81))</f>
        <v>0.43277150493645339</v>
      </c>
      <c r="F81" s="7">
        <f>(((F77)+(F78))+(F79))+(F80)</f>
        <v>185.26</v>
      </c>
      <c r="G81" s="7">
        <f>(((G77)+(G78))+(G79))+(G80)</f>
        <v>366.66</v>
      </c>
      <c r="H81" s="7">
        <f t="shared" ref="H81:H112" si="77">(F81)-(G81)</f>
        <v>-181.40000000000003</v>
      </c>
      <c r="I81" s="8">
        <f t="shared" ref="I81:I112" si="78">IF(G81=0,"",(F81)/(G81))</f>
        <v>0.50526373206785569</v>
      </c>
      <c r="J81" s="7">
        <f>(((J77)+(J78))+(J79))+(J80)</f>
        <v>808.42000000000007</v>
      </c>
      <c r="K81" s="7">
        <f>(((K77)+(K78))+(K79))+(K80)</f>
        <v>366.66</v>
      </c>
      <c r="L81" s="7">
        <f t="shared" ref="L81:L112" si="79">(J81)-(K81)</f>
        <v>441.76000000000005</v>
      </c>
      <c r="M81" s="8">
        <f t="shared" ref="M81:M112" si="80">IF(K81=0,"",(J81)/(K81))</f>
        <v>2.2048219058528336</v>
      </c>
      <c r="N81" s="7">
        <f>(((N77)+(N78))+(N79))+(N80)</f>
        <v>0</v>
      </c>
      <c r="O81" s="7">
        <f>(((O77)+(O78))+(O79))+(O80)</f>
        <v>366.66</v>
      </c>
      <c r="P81" s="7">
        <f t="shared" ref="P81:P112" si="81">(N81)-(O81)</f>
        <v>-366.66</v>
      </c>
      <c r="Q81" s="8">
        <f t="shared" ref="Q81:Q112" si="82">IF(O81=0,"",(N81)/(O81))</f>
        <v>0</v>
      </c>
      <c r="R81" s="7">
        <f>(((R77)+(R78))+(R79))+(R80)</f>
        <v>283.20000000000005</v>
      </c>
      <c r="S81" s="7">
        <f>(((S77)+(S78))+(S79))+(S80)</f>
        <v>366.66</v>
      </c>
      <c r="T81" s="7">
        <f t="shared" ref="T81:T112" si="83">(R81)-(S81)</f>
        <v>-83.45999999999998</v>
      </c>
      <c r="U81" s="8">
        <f t="shared" ref="U81:U112" si="84">IF(S81=0,"",(R81)/(S81))</f>
        <v>0.77237767959417447</v>
      </c>
      <c r="V81" s="7">
        <f>(((V77)+(V78))+(V79))+(V80)</f>
        <v>148.80000000000001</v>
      </c>
      <c r="W81" s="7">
        <f>(((W77)+(W78))+(W79))+(W80)</f>
        <v>366.66</v>
      </c>
      <c r="X81" s="7">
        <f t="shared" ref="X81:X112" si="85">(V81)-(W81)</f>
        <v>-217.86</v>
      </c>
      <c r="Y81" s="8">
        <f t="shared" ref="Y81:Y112" si="86">IF(W81=0,"",(V81)/(W81))</f>
        <v>0.40582556046473572</v>
      </c>
      <c r="Z81" s="7">
        <f>(((Z77)+(Z78))+(Z79))+(Z80)</f>
        <v>144</v>
      </c>
      <c r="AA81" s="7">
        <f>(((AA77)+(AA78))+(AA79))+(AA80)</f>
        <v>366.66</v>
      </c>
      <c r="AB81" s="7">
        <f t="shared" ref="AB81:AB112" si="87">(Z81)-(AA81)</f>
        <v>-222.66000000000003</v>
      </c>
      <c r="AC81" s="8">
        <f t="shared" ref="AC81:AC112" si="88">IF(AA81=0,"",(Z81)/(AA81))</f>
        <v>0.39273441335297005</v>
      </c>
      <c r="AD81" s="7">
        <f>(((AD77)+(AD78))+(AD79))+(AD80)</f>
        <v>148.80000000000001</v>
      </c>
      <c r="AE81" s="7">
        <f>(((AE77)+(AE78))+(AE79))+(AE80)</f>
        <v>366.66</v>
      </c>
      <c r="AF81" s="7">
        <f t="shared" ref="AF81:AF112" si="89">(AD81)-(AE81)</f>
        <v>-217.86</v>
      </c>
      <c r="AG81" s="8">
        <f t="shared" ref="AG81:AG112" si="90">IF(AE81=0,"",(AD81)/(AE81))</f>
        <v>0.40582556046473572</v>
      </c>
      <c r="AH81" s="7">
        <f>(((AH77)+(AH78))+(AH79))+(AH80)</f>
        <v>144</v>
      </c>
      <c r="AI81" s="7">
        <f>(((AI77)+(AI78))+(AI79))+(AI80)</f>
        <v>366.66</v>
      </c>
      <c r="AJ81" s="7">
        <f t="shared" ref="AJ81:AJ112" si="91">(AH81)-(AI81)</f>
        <v>-222.66000000000003</v>
      </c>
      <c r="AK81" s="8">
        <f t="shared" ref="AK81:AK112" si="92">IF(AI81=0,"",(AH81)/(AI81))</f>
        <v>0.39273441335297005</v>
      </c>
      <c r="AL81" s="7">
        <f>(((AL77)+(AL78))+(AL79))+(AL80)</f>
        <v>148.80000000000001</v>
      </c>
      <c r="AM81" s="7">
        <f>(((AM77)+(AM78))+(AM79))+(AM80)</f>
        <v>366.66</v>
      </c>
      <c r="AN81" s="7">
        <f t="shared" ref="AN81:AN112" si="93">(AL81)-(AM81)</f>
        <v>-217.86</v>
      </c>
      <c r="AO81" s="7">
        <f>(((AO77)+(AO78))+(AO79))+(AO80)</f>
        <v>0</v>
      </c>
      <c r="AP81" s="7">
        <f>(((AP77)+(AP78))+(AP79))+(AP80)</f>
        <v>366.66</v>
      </c>
      <c r="AQ81" s="7">
        <f t="shared" ref="AQ81:AQ112" si="94">(AO81)-(AP81)</f>
        <v>-366.66</v>
      </c>
      <c r="AR81" s="7">
        <f>(((AR77)+(AR78))+(AR79))+(AR80)</f>
        <v>0</v>
      </c>
      <c r="AS81" s="7">
        <f>(((AS77)+(AS78))+(AS79))+(AS80)</f>
        <v>366.74</v>
      </c>
      <c r="AT81" s="7">
        <f t="shared" ref="AT81:AT112" si="95">(AR81)-(AS81)</f>
        <v>-366.74</v>
      </c>
      <c r="AU81" s="25">
        <f t="shared" si="73"/>
        <v>2169.96</v>
      </c>
      <c r="AV81" s="16">
        <f t="shared" ref="AV81:AV121" si="96">AU81/10*12</f>
        <v>2603.9520000000002</v>
      </c>
      <c r="AW81" s="26">
        <f t="shared" si="74"/>
        <v>4399.9999999999991</v>
      </c>
      <c r="AX81" s="16">
        <f t="shared" ref="AX81:AX112" si="97">(AU81)-(AW81)</f>
        <v>-2230.0399999999991</v>
      </c>
      <c r="AY81" s="25">
        <f>BB81</f>
        <v>2463.7600000000002</v>
      </c>
      <c r="AZ81" s="18">
        <f>AY81-AW81</f>
        <v>-1936.2399999999989</v>
      </c>
      <c r="BA81" s="13"/>
      <c r="BB81" s="26">
        <f>SUM(BB78:BB80)</f>
        <v>2463.7600000000002</v>
      </c>
    </row>
    <row r="82" spans="1:54" x14ac:dyDescent="0.25">
      <c r="A82" s="3" t="s">
        <v>89</v>
      </c>
      <c r="B82" s="4"/>
      <c r="C82" s="4"/>
      <c r="D82" s="5">
        <f t="shared" si="75"/>
        <v>0</v>
      </c>
      <c r="E82" s="6" t="str">
        <f t="shared" si="76"/>
        <v/>
      </c>
      <c r="F82" s="4"/>
      <c r="G82" s="4"/>
      <c r="H82" s="5">
        <f t="shared" si="77"/>
        <v>0</v>
      </c>
      <c r="I82" s="6" t="str">
        <f t="shared" si="78"/>
        <v/>
      </c>
      <c r="J82" s="4"/>
      <c r="K82" s="4"/>
      <c r="L82" s="5">
        <f t="shared" si="79"/>
        <v>0</v>
      </c>
      <c r="M82" s="6" t="str">
        <f t="shared" si="80"/>
        <v/>
      </c>
      <c r="N82" s="4"/>
      <c r="O82" s="4"/>
      <c r="P82" s="5">
        <f t="shared" si="81"/>
        <v>0</v>
      </c>
      <c r="Q82" s="6" t="str">
        <f t="shared" si="82"/>
        <v/>
      </c>
      <c r="R82" s="4"/>
      <c r="S82" s="4"/>
      <c r="T82" s="5">
        <f t="shared" si="83"/>
        <v>0</v>
      </c>
      <c r="U82" s="6" t="str">
        <f t="shared" si="84"/>
        <v/>
      </c>
      <c r="V82" s="4"/>
      <c r="W82" s="4"/>
      <c r="X82" s="5">
        <f t="shared" si="85"/>
        <v>0</v>
      </c>
      <c r="Y82" s="6" t="str">
        <f t="shared" si="86"/>
        <v/>
      </c>
      <c r="Z82" s="4"/>
      <c r="AA82" s="4"/>
      <c r="AB82" s="5">
        <f t="shared" si="87"/>
        <v>0</v>
      </c>
      <c r="AC82" s="6" t="str">
        <f t="shared" si="88"/>
        <v/>
      </c>
      <c r="AD82" s="4"/>
      <c r="AE82" s="4"/>
      <c r="AF82" s="5">
        <f t="shared" si="89"/>
        <v>0</v>
      </c>
      <c r="AG82" s="6" t="str">
        <f t="shared" si="90"/>
        <v/>
      </c>
      <c r="AH82" s="4"/>
      <c r="AI82" s="4"/>
      <c r="AJ82" s="5">
        <f t="shared" si="91"/>
        <v>0</v>
      </c>
      <c r="AK82" s="6" t="str">
        <f t="shared" si="92"/>
        <v/>
      </c>
      <c r="AL82" s="4"/>
      <c r="AM82" s="4"/>
      <c r="AN82" s="5">
        <f t="shared" si="93"/>
        <v>0</v>
      </c>
      <c r="AO82" s="4"/>
      <c r="AP82" s="4"/>
      <c r="AQ82" s="5">
        <f t="shared" si="94"/>
        <v>0</v>
      </c>
      <c r="AR82" s="4"/>
      <c r="AS82" s="4"/>
      <c r="AT82" s="5">
        <f t="shared" si="95"/>
        <v>0</v>
      </c>
      <c r="AU82" s="23">
        <f t="shared" si="73"/>
        <v>0</v>
      </c>
      <c r="AV82" s="14">
        <f t="shared" si="96"/>
        <v>0</v>
      </c>
      <c r="AW82" s="24">
        <f t="shared" si="74"/>
        <v>0</v>
      </c>
      <c r="AX82" s="14">
        <f t="shared" si="97"/>
        <v>0</v>
      </c>
      <c r="AY82" s="23"/>
      <c r="AZ82" s="14"/>
      <c r="BA82" s="13"/>
      <c r="BB82" s="24"/>
    </row>
    <row r="83" spans="1:54" x14ac:dyDescent="0.25">
      <c r="A83" s="3" t="s">
        <v>90</v>
      </c>
      <c r="B83" s="4"/>
      <c r="C83" s="4"/>
      <c r="D83" s="5">
        <f t="shared" si="75"/>
        <v>0</v>
      </c>
      <c r="E83" s="6" t="str">
        <f t="shared" si="76"/>
        <v/>
      </c>
      <c r="F83" s="4"/>
      <c r="G83" s="4"/>
      <c r="H83" s="5">
        <f t="shared" si="77"/>
        <v>0</v>
      </c>
      <c r="I83" s="6" t="str">
        <f t="shared" si="78"/>
        <v/>
      </c>
      <c r="J83" s="4"/>
      <c r="K83" s="4"/>
      <c r="L83" s="5">
        <f t="shared" si="79"/>
        <v>0</v>
      </c>
      <c r="M83" s="6" t="str">
        <f t="shared" si="80"/>
        <v/>
      </c>
      <c r="N83" s="4"/>
      <c r="O83" s="4"/>
      <c r="P83" s="5">
        <f t="shared" si="81"/>
        <v>0</v>
      </c>
      <c r="Q83" s="6" t="str">
        <f t="shared" si="82"/>
        <v/>
      </c>
      <c r="R83" s="5">
        <f>0</f>
        <v>0</v>
      </c>
      <c r="S83" s="4"/>
      <c r="T83" s="5">
        <f t="shared" si="83"/>
        <v>0</v>
      </c>
      <c r="U83" s="6" t="str">
        <f t="shared" si="84"/>
        <v/>
      </c>
      <c r="V83" s="5">
        <f>11.12</f>
        <v>11.12</v>
      </c>
      <c r="W83" s="4"/>
      <c r="X83" s="5">
        <f t="shared" si="85"/>
        <v>11.12</v>
      </c>
      <c r="Y83" s="6" t="str">
        <f t="shared" si="86"/>
        <v/>
      </c>
      <c r="Z83" s="4"/>
      <c r="AA83" s="4"/>
      <c r="AB83" s="5">
        <f t="shared" si="87"/>
        <v>0</v>
      </c>
      <c r="AC83" s="6" t="str">
        <f t="shared" si="88"/>
        <v/>
      </c>
      <c r="AD83" s="4"/>
      <c r="AE83" s="4"/>
      <c r="AF83" s="5">
        <f t="shared" si="89"/>
        <v>0</v>
      </c>
      <c r="AG83" s="6" t="str">
        <f t="shared" si="90"/>
        <v/>
      </c>
      <c r="AH83" s="4"/>
      <c r="AI83" s="4"/>
      <c r="AJ83" s="5">
        <f t="shared" si="91"/>
        <v>0</v>
      </c>
      <c r="AK83" s="6" t="str">
        <f t="shared" si="92"/>
        <v/>
      </c>
      <c r="AL83" s="4"/>
      <c r="AM83" s="4"/>
      <c r="AN83" s="5">
        <f t="shared" si="93"/>
        <v>0</v>
      </c>
      <c r="AO83" s="4"/>
      <c r="AP83" s="4"/>
      <c r="AQ83" s="5">
        <f t="shared" si="94"/>
        <v>0</v>
      </c>
      <c r="AR83" s="4"/>
      <c r="AS83" s="4"/>
      <c r="AT83" s="5">
        <f t="shared" si="95"/>
        <v>0</v>
      </c>
      <c r="AU83" s="23">
        <f t="shared" si="73"/>
        <v>11.12</v>
      </c>
      <c r="AV83" s="14">
        <f t="shared" si="96"/>
        <v>13.343999999999998</v>
      </c>
      <c r="AW83" s="24">
        <f t="shared" si="74"/>
        <v>0</v>
      </c>
      <c r="AX83" s="14">
        <f t="shared" si="97"/>
        <v>11.12</v>
      </c>
      <c r="AY83" s="23"/>
      <c r="AZ83" s="14"/>
      <c r="BA83" s="13" t="s">
        <v>173</v>
      </c>
      <c r="BB83" s="24">
        <v>50</v>
      </c>
    </row>
    <row r="84" spans="1:54" x14ac:dyDescent="0.25">
      <c r="A84" s="3" t="s">
        <v>91</v>
      </c>
      <c r="B84" s="4"/>
      <c r="C84" s="4"/>
      <c r="D84" s="5">
        <f t="shared" si="75"/>
        <v>0</v>
      </c>
      <c r="E84" s="6" t="str">
        <f t="shared" si="76"/>
        <v/>
      </c>
      <c r="F84" s="4"/>
      <c r="G84" s="4"/>
      <c r="H84" s="5">
        <f t="shared" si="77"/>
        <v>0</v>
      </c>
      <c r="I84" s="6" t="str">
        <f t="shared" si="78"/>
        <v/>
      </c>
      <c r="J84" s="4"/>
      <c r="K84" s="4"/>
      <c r="L84" s="5">
        <f t="shared" si="79"/>
        <v>0</v>
      </c>
      <c r="M84" s="6" t="str">
        <f t="shared" si="80"/>
        <v/>
      </c>
      <c r="N84" s="4"/>
      <c r="O84" s="4"/>
      <c r="P84" s="5">
        <f t="shared" si="81"/>
        <v>0</v>
      </c>
      <c r="Q84" s="6" t="str">
        <f t="shared" si="82"/>
        <v/>
      </c>
      <c r="R84" s="5">
        <f>0</f>
        <v>0</v>
      </c>
      <c r="S84" s="4"/>
      <c r="T84" s="5">
        <f t="shared" si="83"/>
        <v>0</v>
      </c>
      <c r="U84" s="6" t="str">
        <f t="shared" si="84"/>
        <v/>
      </c>
      <c r="V84" s="5">
        <f>5.99</f>
        <v>5.99</v>
      </c>
      <c r="W84" s="4"/>
      <c r="X84" s="5">
        <f t="shared" si="85"/>
        <v>5.99</v>
      </c>
      <c r="Y84" s="6" t="str">
        <f t="shared" si="86"/>
        <v/>
      </c>
      <c r="Z84" s="4"/>
      <c r="AA84" s="4"/>
      <c r="AB84" s="5">
        <f t="shared" si="87"/>
        <v>0</v>
      </c>
      <c r="AC84" s="6" t="str">
        <f t="shared" si="88"/>
        <v/>
      </c>
      <c r="AD84" s="4"/>
      <c r="AE84" s="4"/>
      <c r="AF84" s="5">
        <f t="shared" si="89"/>
        <v>0</v>
      </c>
      <c r="AG84" s="6" t="str">
        <f t="shared" si="90"/>
        <v/>
      </c>
      <c r="AH84" s="4"/>
      <c r="AI84" s="4"/>
      <c r="AJ84" s="5">
        <f t="shared" si="91"/>
        <v>0</v>
      </c>
      <c r="AK84" s="6" t="str">
        <f t="shared" si="92"/>
        <v/>
      </c>
      <c r="AL84" s="4"/>
      <c r="AM84" s="4"/>
      <c r="AN84" s="5">
        <f t="shared" si="93"/>
        <v>0</v>
      </c>
      <c r="AO84" s="4"/>
      <c r="AP84" s="4"/>
      <c r="AQ84" s="5">
        <f t="shared" si="94"/>
        <v>0</v>
      </c>
      <c r="AR84" s="4"/>
      <c r="AS84" s="4"/>
      <c r="AT84" s="5">
        <f t="shared" si="95"/>
        <v>0</v>
      </c>
      <c r="AU84" s="23">
        <f t="shared" si="73"/>
        <v>5.99</v>
      </c>
      <c r="AV84" s="14">
        <f t="shared" si="96"/>
        <v>7.1879999999999997</v>
      </c>
      <c r="AW84" s="24">
        <f t="shared" si="74"/>
        <v>0</v>
      </c>
      <c r="AX84" s="14">
        <f t="shared" si="97"/>
        <v>5.99</v>
      </c>
      <c r="AY84" s="23"/>
      <c r="AZ84" s="14"/>
      <c r="BA84" s="13"/>
      <c r="BB84" s="24"/>
    </row>
    <row r="85" spans="1:54" x14ac:dyDescent="0.25">
      <c r="A85" s="3" t="s">
        <v>92</v>
      </c>
      <c r="B85" s="4"/>
      <c r="C85" s="4"/>
      <c r="D85" s="5">
        <f t="shared" si="75"/>
        <v>0</v>
      </c>
      <c r="E85" s="6" t="str">
        <f t="shared" si="76"/>
        <v/>
      </c>
      <c r="F85" s="4"/>
      <c r="G85" s="4"/>
      <c r="H85" s="5">
        <f t="shared" si="77"/>
        <v>0</v>
      </c>
      <c r="I85" s="6" t="str">
        <f t="shared" si="78"/>
        <v/>
      </c>
      <c r="J85" s="4"/>
      <c r="K85" s="4"/>
      <c r="L85" s="5">
        <f t="shared" si="79"/>
        <v>0</v>
      </c>
      <c r="M85" s="6" t="str">
        <f t="shared" si="80"/>
        <v/>
      </c>
      <c r="N85" s="4"/>
      <c r="O85" s="4"/>
      <c r="P85" s="5">
        <f t="shared" si="81"/>
        <v>0</v>
      </c>
      <c r="Q85" s="6" t="str">
        <f t="shared" si="82"/>
        <v/>
      </c>
      <c r="R85" s="5">
        <f>0</f>
        <v>0</v>
      </c>
      <c r="S85" s="4"/>
      <c r="T85" s="5">
        <f t="shared" si="83"/>
        <v>0</v>
      </c>
      <c r="U85" s="6" t="str">
        <f t="shared" si="84"/>
        <v/>
      </c>
      <c r="V85" s="5">
        <f>0</f>
        <v>0</v>
      </c>
      <c r="W85" s="4"/>
      <c r="X85" s="5">
        <f t="shared" si="85"/>
        <v>0</v>
      </c>
      <c r="Y85" s="6" t="str">
        <f t="shared" si="86"/>
        <v/>
      </c>
      <c r="Z85" s="4"/>
      <c r="AA85" s="4"/>
      <c r="AB85" s="5">
        <f t="shared" si="87"/>
        <v>0</v>
      </c>
      <c r="AC85" s="6" t="str">
        <f t="shared" si="88"/>
        <v/>
      </c>
      <c r="AD85" s="4"/>
      <c r="AE85" s="4"/>
      <c r="AF85" s="5">
        <f t="shared" si="89"/>
        <v>0</v>
      </c>
      <c r="AG85" s="6" t="str">
        <f t="shared" si="90"/>
        <v/>
      </c>
      <c r="AH85" s="4"/>
      <c r="AI85" s="4"/>
      <c r="AJ85" s="5">
        <f t="shared" si="91"/>
        <v>0</v>
      </c>
      <c r="AK85" s="6" t="str">
        <f t="shared" si="92"/>
        <v/>
      </c>
      <c r="AL85" s="4"/>
      <c r="AM85" s="4"/>
      <c r="AN85" s="5">
        <f t="shared" si="93"/>
        <v>0</v>
      </c>
      <c r="AO85" s="4"/>
      <c r="AP85" s="4"/>
      <c r="AQ85" s="5">
        <f t="shared" si="94"/>
        <v>0</v>
      </c>
      <c r="AR85" s="4"/>
      <c r="AS85" s="4"/>
      <c r="AT85" s="5">
        <f t="shared" si="95"/>
        <v>0</v>
      </c>
      <c r="AU85" s="23">
        <f t="shared" si="73"/>
        <v>0</v>
      </c>
      <c r="AV85" s="14">
        <f t="shared" si="96"/>
        <v>0</v>
      </c>
      <c r="AW85" s="24">
        <f t="shared" si="74"/>
        <v>0</v>
      </c>
      <c r="AX85" s="14">
        <f t="shared" si="97"/>
        <v>0</v>
      </c>
      <c r="AY85" s="23"/>
      <c r="AZ85" s="14"/>
      <c r="BA85" s="13"/>
      <c r="BB85" s="24"/>
    </row>
    <row r="86" spans="1:54" x14ac:dyDescent="0.25">
      <c r="A86" s="3" t="s">
        <v>93</v>
      </c>
      <c r="B86" s="7">
        <f>(((B82)+(B83))+(B84))+(B85)</f>
        <v>0</v>
      </c>
      <c r="C86" s="7">
        <f>(((C82)+(C83))+(C84))+(C85)</f>
        <v>0</v>
      </c>
      <c r="D86" s="7">
        <f t="shared" si="75"/>
        <v>0</v>
      </c>
      <c r="E86" s="8" t="str">
        <f t="shared" si="76"/>
        <v/>
      </c>
      <c r="F86" s="7">
        <f>(((F82)+(F83))+(F84))+(F85)</f>
        <v>0</v>
      </c>
      <c r="G86" s="7">
        <f>(((G82)+(G83))+(G84))+(G85)</f>
        <v>0</v>
      </c>
      <c r="H86" s="7">
        <f t="shared" si="77"/>
        <v>0</v>
      </c>
      <c r="I86" s="8" t="str">
        <f t="shared" si="78"/>
        <v/>
      </c>
      <c r="J86" s="7">
        <f>(((J82)+(J83))+(J84))+(J85)</f>
        <v>0</v>
      </c>
      <c r="K86" s="7">
        <f>(((K82)+(K83))+(K84))+(K85)</f>
        <v>0</v>
      </c>
      <c r="L86" s="7">
        <f t="shared" si="79"/>
        <v>0</v>
      </c>
      <c r="M86" s="8" t="str">
        <f t="shared" si="80"/>
        <v/>
      </c>
      <c r="N86" s="7">
        <f>(((N82)+(N83))+(N84))+(N85)</f>
        <v>0</v>
      </c>
      <c r="O86" s="7">
        <f>(((O82)+(O83))+(O84))+(O85)</f>
        <v>0</v>
      </c>
      <c r="P86" s="7">
        <f t="shared" si="81"/>
        <v>0</v>
      </c>
      <c r="Q86" s="8" t="str">
        <f t="shared" si="82"/>
        <v/>
      </c>
      <c r="R86" s="7">
        <f>(((R82)+(R83))+(R84))+(R85)</f>
        <v>0</v>
      </c>
      <c r="S86" s="7">
        <f>(((S82)+(S83))+(S84))+(S85)</f>
        <v>0</v>
      </c>
      <c r="T86" s="7">
        <f t="shared" si="83"/>
        <v>0</v>
      </c>
      <c r="U86" s="8" t="str">
        <f t="shared" si="84"/>
        <v/>
      </c>
      <c r="V86" s="7">
        <f>(((V82)+(V83))+(V84))+(V85)</f>
        <v>17.11</v>
      </c>
      <c r="W86" s="7">
        <f>(((W82)+(W83))+(W84))+(W85)</f>
        <v>0</v>
      </c>
      <c r="X86" s="7">
        <f t="shared" si="85"/>
        <v>17.11</v>
      </c>
      <c r="Y86" s="8" t="str">
        <f t="shared" si="86"/>
        <v/>
      </c>
      <c r="Z86" s="7">
        <f>(((Z82)+(Z83))+(Z84))+(Z85)</f>
        <v>0</v>
      </c>
      <c r="AA86" s="7">
        <f>(((AA82)+(AA83))+(AA84))+(AA85)</f>
        <v>0</v>
      </c>
      <c r="AB86" s="7">
        <f t="shared" si="87"/>
        <v>0</v>
      </c>
      <c r="AC86" s="8" t="str">
        <f t="shared" si="88"/>
        <v/>
      </c>
      <c r="AD86" s="7">
        <f>(((AD82)+(AD83))+(AD84))+(AD85)</f>
        <v>0</v>
      </c>
      <c r="AE86" s="7">
        <f>(((AE82)+(AE83))+(AE84))+(AE85)</f>
        <v>0</v>
      </c>
      <c r="AF86" s="7">
        <f t="shared" si="89"/>
        <v>0</v>
      </c>
      <c r="AG86" s="8" t="str">
        <f t="shared" si="90"/>
        <v/>
      </c>
      <c r="AH86" s="7">
        <f>(((AH82)+(AH83))+(AH84))+(AH85)</f>
        <v>0</v>
      </c>
      <c r="AI86" s="7">
        <f>(((AI82)+(AI83))+(AI84))+(AI85)</f>
        <v>0</v>
      </c>
      <c r="AJ86" s="7">
        <f t="shared" si="91"/>
        <v>0</v>
      </c>
      <c r="AK86" s="8" t="str">
        <f t="shared" si="92"/>
        <v/>
      </c>
      <c r="AL86" s="7">
        <f>(((AL82)+(AL83))+(AL84))+(AL85)</f>
        <v>0</v>
      </c>
      <c r="AM86" s="7">
        <f>(((AM82)+(AM83))+(AM84))+(AM85)</f>
        <v>0</v>
      </c>
      <c r="AN86" s="7">
        <f t="shared" si="93"/>
        <v>0</v>
      </c>
      <c r="AO86" s="7">
        <f>(((AO82)+(AO83))+(AO84))+(AO85)</f>
        <v>0</v>
      </c>
      <c r="AP86" s="7">
        <f>(((AP82)+(AP83))+(AP84))+(AP85)</f>
        <v>0</v>
      </c>
      <c r="AQ86" s="7">
        <f t="shared" si="94"/>
        <v>0</v>
      </c>
      <c r="AR86" s="7">
        <f>(((AR82)+(AR83))+(AR84))+(AR85)</f>
        <v>0</v>
      </c>
      <c r="AS86" s="7">
        <f>(((AS82)+(AS83))+(AS84))+(AS85)</f>
        <v>0</v>
      </c>
      <c r="AT86" s="7">
        <f t="shared" si="95"/>
        <v>0</v>
      </c>
      <c r="AU86" s="25">
        <f t="shared" si="73"/>
        <v>17.11</v>
      </c>
      <c r="AV86" s="16">
        <f t="shared" si="96"/>
        <v>20.531999999999996</v>
      </c>
      <c r="AW86" s="26">
        <f t="shared" si="74"/>
        <v>0</v>
      </c>
      <c r="AX86" s="16">
        <f t="shared" si="97"/>
        <v>17.11</v>
      </c>
      <c r="AY86" s="25">
        <f>BB86</f>
        <v>50</v>
      </c>
      <c r="AZ86" s="18">
        <f>AY86-AW86</f>
        <v>50</v>
      </c>
      <c r="BA86" s="13"/>
      <c r="BB86" s="26">
        <f>BB83</f>
        <v>50</v>
      </c>
    </row>
    <row r="87" spans="1:54" x14ac:dyDescent="0.25">
      <c r="A87" s="3" t="s">
        <v>94</v>
      </c>
      <c r="B87" s="4"/>
      <c r="C87" s="4"/>
      <c r="D87" s="5">
        <f t="shared" si="75"/>
        <v>0</v>
      </c>
      <c r="E87" s="6" t="str">
        <f t="shared" si="76"/>
        <v/>
      </c>
      <c r="F87" s="4"/>
      <c r="G87" s="4"/>
      <c r="H87" s="5">
        <f t="shared" si="77"/>
        <v>0</v>
      </c>
      <c r="I87" s="6" t="str">
        <f t="shared" si="78"/>
        <v/>
      </c>
      <c r="J87" s="4"/>
      <c r="K87" s="4"/>
      <c r="L87" s="5">
        <f t="shared" si="79"/>
        <v>0</v>
      </c>
      <c r="M87" s="6" t="str">
        <f t="shared" si="80"/>
        <v/>
      </c>
      <c r="N87" s="4"/>
      <c r="O87" s="4"/>
      <c r="P87" s="5">
        <f t="shared" si="81"/>
        <v>0</v>
      </c>
      <c r="Q87" s="6" t="str">
        <f t="shared" si="82"/>
        <v/>
      </c>
      <c r="R87" s="4"/>
      <c r="S87" s="4"/>
      <c r="T87" s="5">
        <f t="shared" si="83"/>
        <v>0</v>
      </c>
      <c r="U87" s="6" t="str">
        <f t="shared" si="84"/>
        <v/>
      </c>
      <c r="V87" s="4"/>
      <c r="W87" s="4"/>
      <c r="X87" s="5">
        <f t="shared" si="85"/>
        <v>0</v>
      </c>
      <c r="Y87" s="6" t="str">
        <f t="shared" si="86"/>
        <v/>
      </c>
      <c r="Z87" s="4"/>
      <c r="AA87" s="4"/>
      <c r="AB87" s="5">
        <f t="shared" si="87"/>
        <v>0</v>
      </c>
      <c r="AC87" s="6" t="str">
        <f t="shared" si="88"/>
        <v/>
      </c>
      <c r="AD87" s="4"/>
      <c r="AE87" s="4"/>
      <c r="AF87" s="5">
        <f t="shared" si="89"/>
        <v>0</v>
      </c>
      <c r="AG87" s="6" t="str">
        <f t="shared" si="90"/>
        <v/>
      </c>
      <c r="AH87" s="4"/>
      <c r="AI87" s="4"/>
      <c r="AJ87" s="5">
        <f t="shared" si="91"/>
        <v>0</v>
      </c>
      <c r="AK87" s="6" t="str">
        <f t="shared" si="92"/>
        <v/>
      </c>
      <c r="AL87" s="4"/>
      <c r="AM87" s="4"/>
      <c r="AN87" s="5">
        <f t="shared" si="93"/>
        <v>0</v>
      </c>
      <c r="AO87" s="4"/>
      <c r="AP87" s="4"/>
      <c r="AQ87" s="5">
        <f t="shared" si="94"/>
        <v>0</v>
      </c>
      <c r="AR87" s="4"/>
      <c r="AS87" s="4"/>
      <c r="AT87" s="5">
        <f t="shared" si="95"/>
        <v>0</v>
      </c>
      <c r="AU87" s="23">
        <f t="shared" si="73"/>
        <v>0</v>
      </c>
      <c r="AV87" s="14">
        <f t="shared" si="96"/>
        <v>0</v>
      </c>
      <c r="AW87" s="24">
        <f t="shared" si="74"/>
        <v>0</v>
      </c>
      <c r="AX87" s="14">
        <f t="shared" si="97"/>
        <v>0</v>
      </c>
      <c r="AY87" s="23"/>
      <c r="AZ87" s="14"/>
      <c r="BA87" s="13" t="s">
        <v>167</v>
      </c>
      <c r="BB87" s="24">
        <v>288</v>
      </c>
    </row>
    <row r="88" spans="1:54" x14ac:dyDescent="0.25">
      <c r="A88" s="3" t="s">
        <v>95</v>
      </c>
      <c r="B88" s="4"/>
      <c r="C88" s="5">
        <f>92.08</f>
        <v>92.08</v>
      </c>
      <c r="D88" s="5">
        <f t="shared" si="75"/>
        <v>-92.08</v>
      </c>
      <c r="E88" s="6">
        <f t="shared" si="76"/>
        <v>0</v>
      </c>
      <c r="F88" s="5">
        <f>220</f>
        <v>220</v>
      </c>
      <c r="G88" s="5">
        <f>92.08</f>
        <v>92.08</v>
      </c>
      <c r="H88" s="5">
        <f t="shared" si="77"/>
        <v>127.92</v>
      </c>
      <c r="I88" s="6">
        <f t="shared" si="78"/>
        <v>2.3892267593397047</v>
      </c>
      <c r="J88" s="4"/>
      <c r="K88" s="5">
        <f>92.08</f>
        <v>92.08</v>
      </c>
      <c r="L88" s="5">
        <f t="shared" si="79"/>
        <v>-92.08</v>
      </c>
      <c r="M88" s="6">
        <f t="shared" si="80"/>
        <v>0</v>
      </c>
      <c r="N88" s="4"/>
      <c r="O88" s="5">
        <f>92.08</f>
        <v>92.08</v>
      </c>
      <c r="P88" s="5">
        <f t="shared" si="81"/>
        <v>-92.08</v>
      </c>
      <c r="Q88" s="6">
        <f t="shared" si="82"/>
        <v>0</v>
      </c>
      <c r="R88" s="4"/>
      <c r="S88" s="5">
        <f>92.08</f>
        <v>92.08</v>
      </c>
      <c r="T88" s="5">
        <f t="shared" si="83"/>
        <v>-92.08</v>
      </c>
      <c r="U88" s="6">
        <f t="shared" si="84"/>
        <v>0</v>
      </c>
      <c r="V88" s="4"/>
      <c r="W88" s="5">
        <f>92.08</f>
        <v>92.08</v>
      </c>
      <c r="X88" s="5">
        <f t="shared" si="85"/>
        <v>-92.08</v>
      </c>
      <c r="Y88" s="6">
        <f t="shared" si="86"/>
        <v>0</v>
      </c>
      <c r="Z88" s="5">
        <f>425.8</f>
        <v>425.8</v>
      </c>
      <c r="AA88" s="5">
        <f>92.08</f>
        <v>92.08</v>
      </c>
      <c r="AB88" s="5">
        <f t="shared" si="87"/>
        <v>333.72</v>
      </c>
      <c r="AC88" s="6">
        <f t="shared" si="88"/>
        <v>4.6242397914856648</v>
      </c>
      <c r="AD88" s="5">
        <f>73.97</f>
        <v>73.97</v>
      </c>
      <c r="AE88" s="5">
        <f>92.08</f>
        <v>92.08</v>
      </c>
      <c r="AF88" s="5">
        <f t="shared" si="89"/>
        <v>-18.11</v>
      </c>
      <c r="AG88" s="6">
        <f t="shared" si="90"/>
        <v>0.80332319721980883</v>
      </c>
      <c r="AH88" s="5">
        <f>0</f>
        <v>0</v>
      </c>
      <c r="AI88" s="5">
        <f>92.08</f>
        <v>92.08</v>
      </c>
      <c r="AJ88" s="5">
        <f t="shared" si="91"/>
        <v>-92.08</v>
      </c>
      <c r="AK88" s="6">
        <f t="shared" si="92"/>
        <v>0</v>
      </c>
      <c r="AL88" s="5">
        <f>0</f>
        <v>0</v>
      </c>
      <c r="AM88" s="5">
        <f>92.08</f>
        <v>92.08</v>
      </c>
      <c r="AN88" s="5">
        <f t="shared" si="93"/>
        <v>-92.08</v>
      </c>
      <c r="AO88" s="4"/>
      <c r="AP88" s="5">
        <f>92.08</f>
        <v>92.08</v>
      </c>
      <c r="AQ88" s="5">
        <f t="shared" si="94"/>
        <v>-92.08</v>
      </c>
      <c r="AR88" s="4"/>
      <c r="AS88" s="5">
        <f>92.12</f>
        <v>92.12</v>
      </c>
      <c r="AT88" s="5">
        <f t="shared" si="95"/>
        <v>-92.12</v>
      </c>
      <c r="AU88" s="23">
        <f t="shared" si="73"/>
        <v>719.77</v>
      </c>
      <c r="AV88" s="14">
        <f t="shared" si="96"/>
        <v>863.72400000000005</v>
      </c>
      <c r="AW88" s="24">
        <f t="shared" si="74"/>
        <v>1105.0000000000002</v>
      </c>
      <c r="AX88" s="14">
        <f t="shared" si="97"/>
        <v>-385.23000000000025</v>
      </c>
      <c r="AY88" s="23"/>
      <c r="AZ88" s="14"/>
      <c r="BA88" s="13" t="s">
        <v>157</v>
      </c>
      <c r="BB88" s="24">
        <v>255</v>
      </c>
    </row>
    <row r="89" spans="1:54" x14ac:dyDescent="0.25">
      <c r="A89" s="3" t="s">
        <v>96</v>
      </c>
      <c r="B89" s="4"/>
      <c r="C89" s="5">
        <f>49.58</f>
        <v>49.58</v>
      </c>
      <c r="D89" s="5">
        <f t="shared" si="75"/>
        <v>-49.58</v>
      </c>
      <c r="E89" s="6">
        <f t="shared" si="76"/>
        <v>0</v>
      </c>
      <c r="F89" s="5">
        <f>118.46</f>
        <v>118.46</v>
      </c>
      <c r="G89" s="5">
        <f>49.58</f>
        <v>49.58</v>
      </c>
      <c r="H89" s="5">
        <f t="shared" si="77"/>
        <v>68.88</v>
      </c>
      <c r="I89" s="6">
        <f t="shared" si="78"/>
        <v>2.3892698668818073</v>
      </c>
      <c r="J89" s="4"/>
      <c r="K89" s="5">
        <f>49.58</f>
        <v>49.58</v>
      </c>
      <c r="L89" s="5">
        <f t="shared" si="79"/>
        <v>-49.58</v>
      </c>
      <c r="M89" s="6">
        <f t="shared" si="80"/>
        <v>0</v>
      </c>
      <c r="N89" s="4"/>
      <c r="O89" s="5">
        <f>49.58</f>
        <v>49.58</v>
      </c>
      <c r="P89" s="5">
        <f t="shared" si="81"/>
        <v>-49.58</v>
      </c>
      <c r="Q89" s="6">
        <f t="shared" si="82"/>
        <v>0</v>
      </c>
      <c r="R89" s="4"/>
      <c r="S89" s="5">
        <f>49.58</f>
        <v>49.58</v>
      </c>
      <c r="T89" s="5">
        <f t="shared" si="83"/>
        <v>-49.58</v>
      </c>
      <c r="U89" s="6">
        <f t="shared" si="84"/>
        <v>0</v>
      </c>
      <c r="V89" s="4"/>
      <c r="W89" s="5">
        <f>49.58</f>
        <v>49.58</v>
      </c>
      <c r="X89" s="5">
        <f t="shared" si="85"/>
        <v>-49.58</v>
      </c>
      <c r="Y89" s="6">
        <f t="shared" si="86"/>
        <v>0</v>
      </c>
      <c r="Z89" s="5">
        <f>229.27</f>
        <v>229.27</v>
      </c>
      <c r="AA89" s="5">
        <f>49.58</f>
        <v>49.58</v>
      </c>
      <c r="AB89" s="5">
        <f t="shared" si="87"/>
        <v>179.69</v>
      </c>
      <c r="AC89" s="6">
        <f t="shared" si="88"/>
        <v>4.6242436466317063</v>
      </c>
      <c r="AD89" s="5">
        <f>39.83</f>
        <v>39.83</v>
      </c>
      <c r="AE89" s="5">
        <f>49.58</f>
        <v>49.58</v>
      </c>
      <c r="AF89" s="5">
        <f t="shared" si="89"/>
        <v>-9.75</v>
      </c>
      <c r="AG89" s="6">
        <f t="shared" si="90"/>
        <v>0.80334812424364666</v>
      </c>
      <c r="AH89" s="5">
        <f>0</f>
        <v>0</v>
      </c>
      <c r="AI89" s="5">
        <f>49.58</f>
        <v>49.58</v>
      </c>
      <c r="AJ89" s="5">
        <f t="shared" si="91"/>
        <v>-49.58</v>
      </c>
      <c r="AK89" s="6">
        <f t="shared" si="92"/>
        <v>0</v>
      </c>
      <c r="AL89" s="5">
        <f>0</f>
        <v>0</v>
      </c>
      <c r="AM89" s="5">
        <f>49.58</f>
        <v>49.58</v>
      </c>
      <c r="AN89" s="5">
        <f t="shared" si="93"/>
        <v>-49.58</v>
      </c>
      <c r="AO89" s="4"/>
      <c r="AP89" s="5">
        <f>49.58</f>
        <v>49.58</v>
      </c>
      <c r="AQ89" s="5">
        <f t="shared" si="94"/>
        <v>-49.58</v>
      </c>
      <c r="AR89" s="4"/>
      <c r="AS89" s="5">
        <f>49.62</f>
        <v>49.62</v>
      </c>
      <c r="AT89" s="5">
        <f t="shared" si="95"/>
        <v>-49.62</v>
      </c>
      <c r="AU89" s="23">
        <f t="shared" si="73"/>
        <v>387.56</v>
      </c>
      <c r="AV89" s="14">
        <f t="shared" si="96"/>
        <v>465.072</v>
      </c>
      <c r="AW89" s="24">
        <f t="shared" si="74"/>
        <v>594.99999999999989</v>
      </c>
      <c r="AX89" s="14">
        <f t="shared" si="97"/>
        <v>-207.43999999999988</v>
      </c>
      <c r="AY89" s="23"/>
      <c r="AZ89" s="14"/>
      <c r="BA89" s="42" t="s">
        <v>168</v>
      </c>
      <c r="BB89" s="24">
        <v>468</v>
      </c>
    </row>
    <row r="90" spans="1:54" x14ac:dyDescent="0.25">
      <c r="A90" s="3" t="s">
        <v>97</v>
      </c>
      <c r="B90" s="4"/>
      <c r="C90" s="4"/>
      <c r="D90" s="5">
        <f t="shared" si="75"/>
        <v>0</v>
      </c>
      <c r="E90" s="6" t="str">
        <f t="shared" si="76"/>
        <v/>
      </c>
      <c r="F90" s="5">
        <f>0</f>
        <v>0</v>
      </c>
      <c r="G90" s="4"/>
      <c r="H90" s="5">
        <f t="shared" si="77"/>
        <v>0</v>
      </c>
      <c r="I90" s="6" t="str">
        <f t="shared" si="78"/>
        <v/>
      </c>
      <c r="J90" s="4"/>
      <c r="K90" s="4"/>
      <c r="L90" s="5">
        <f t="shared" si="79"/>
        <v>0</v>
      </c>
      <c r="M90" s="6" t="str">
        <f t="shared" si="80"/>
        <v/>
      </c>
      <c r="N90" s="4"/>
      <c r="O90" s="4"/>
      <c r="P90" s="5">
        <f t="shared" si="81"/>
        <v>0</v>
      </c>
      <c r="Q90" s="6" t="str">
        <f t="shared" si="82"/>
        <v/>
      </c>
      <c r="R90" s="4"/>
      <c r="S90" s="4"/>
      <c r="T90" s="5">
        <f t="shared" si="83"/>
        <v>0</v>
      </c>
      <c r="U90" s="6" t="str">
        <f t="shared" si="84"/>
        <v/>
      </c>
      <c r="V90" s="4"/>
      <c r="W90" s="4"/>
      <c r="X90" s="5">
        <f t="shared" si="85"/>
        <v>0</v>
      </c>
      <c r="Y90" s="6" t="str">
        <f t="shared" si="86"/>
        <v/>
      </c>
      <c r="Z90" s="5">
        <f>0</f>
        <v>0</v>
      </c>
      <c r="AA90" s="4"/>
      <c r="AB90" s="5">
        <f t="shared" si="87"/>
        <v>0</v>
      </c>
      <c r="AC90" s="6" t="str">
        <f t="shared" si="88"/>
        <v/>
      </c>
      <c r="AD90" s="5">
        <f>0</f>
        <v>0</v>
      </c>
      <c r="AE90" s="4"/>
      <c r="AF90" s="5">
        <f t="shared" si="89"/>
        <v>0</v>
      </c>
      <c r="AG90" s="6" t="str">
        <f t="shared" si="90"/>
        <v/>
      </c>
      <c r="AH90" s="5">
        <f>0</f>
        <v>0</v>
      </c>
      <c r="AI90" s="4"/>
      <c r="AJ90" s="5">
        <f t="shared" si="91"/>
        <v>0</v>
      </c>
      <c r="AK90" s="6" t="str">
        <f t="shared" si="92"/>
        <v/>
      </c>
      <c r="AL90" s="5">
        <f>0</f>
        <v>0</v>
      </c>
      <c r="AM90" s="4"/>
      <c r="AN90" s="5">
        <f t="shared" si="93"/>
        <v>0</v>
      </c>
      <c r="AO90" s="4"/>
      <c r="AP90" s="4"/>
      <c r="AQ90" s="5">
        <f t="shared" si="94"/>
        <v>0</v>
      </c>
      <c r="AR90" s="4"/>
      <c r="AS90" s="4"/>
      <c r="AT90" s="5">
        <f t="shared" si="95"/>
        <v>0</v>
      </c>
      <c r="AU90" s="23">
        <f t="shared" si="73"/>
        <v>0</v>
      </c>
      <c r="AV90" s="14">
        <f t="shared" si="96"/>
        <v>0</v>
      </c>
      <c r="AW90" s="24">
        <f t="shared" si="74"/>
        <v>0</v>
      </c>
      <c r="AX90" s="14">
        <f t="shared" si="97"/>
        <v>0</v>
      </c>
      <c r="AY90" s="23"/>
      <c r="AZ90" s="14"/>
      <c r="BA90" s="41"/>
      <c r="BB90" s="24"/>
    </row>
    <row r="91" spans="1:54" x14ac:dyDescent="0.25">
      <c r="A91" s="3" t="s">
        <v>98</v>
      </c>
      <c r="B91" s="7">
        <f>(((B87)+(B88))+(B89))+(B90)</f>
        <v>0</v>
      </c>
      <c r="C91" s="7">
        <f>(((C87)+(C88))+(C89))+(C90)</f>
        <v>141.66</v>
      </c>
      <c r="D91" s="7">
        <f t="shared" si="75"/>
        <v>-141.66</v>
      </c>
      <c r="E91" s="8">
        <f t="shared" si="76"/>
        <v>0</v>
      </c>
      <c r="F91" s="7">
        <f>(((F87)+(F88))+(F89))+(F90)</f>
        <v>338.46</v>
      </c>
      <c r="G91" s="7">
        <f>(((G87)+(G88))+(G89))+(G90)</f>
        <v>141.66</v>
      </c>
      <c r="H91" s="7">
        <f t="shared" si="77"/>
        <v>196.79999999999998</v>
      </c>
      <c r="I91" s="8">
        <f t="shared" si="78"/>
        <v>2.3892418466751377</v>
      </c>
      <c r="J91" s="7">
        <f>(((J87)+(J88))+(J89))+(J90)</f>
        <v>0</v>
      </c>
      <c r="K91" s="7">
        <f>(((K87)+(K88))+(K89))+(K90)</f>
        <v>141.66</v>
      </c>
      <c r="L91" s="7">
        <f t="shared" si="79"/>
        <v>-141.66</v>
      </c>
      <c r="M91" s="8">
        <f t="shared" si="80"/>
        <v>0</v>
      </c>
      <c r="N91" s="7">
        <f>(((N87)+(N88))+(N89))+(N90)</f>
        <v>0</v>
      </c>
      <c r="O91" s="7">
        <f>(((O87)+(O88))+(O89))+(O90)</f>
        <v>141.66</v>
      </c>
      <c r="P91" s="7">
        <f t="shared" si="81"/>
        <v>-141.66</v>
      </c>
      <c r="Q91" s="8">
        <f t="shared" si="82"/>
        <v>0</v>
      </c>
      <c r="R91" s="7">
        <f>(((R87)+(R88))+(R89))+(R90)</f>
        <v>0</v>
      </c>
      <c r="S91" s="7">
        <f>(((S87)+(S88))+(S89))+(S90)</f>
        <v>141.66</v>
      </c>
      <c r="T91" s="7">
        <f t="shared" si="83"/>
        <v>-141.66</v>
      </c>
      <c r="U91" s="8">
        <f t="shared" si="84"/>
        <v>0</v>
      </c>
      <c r="V91" s="7">
        <f>(((V87)+(V88))+(V89))+(V90)</f>
        <v>0</v>
      </c>
      <c r="W91" s="7">
        <f>(((W87)+(W88))+(W89))+(W90)</f>
        <v>141.66</v>
      </c>
      <c r="X91" s="7">
        <f t="shared" si="85"/>
        <v>-141.66</v>
      </c>
      <c r="Y91" s="8">
        <f t="shared" si="86"/>
        <v>0</v>
      </c>
      <c r="Z91" s="7">
        <f>(((Z87)+(Z88))+(Z89))+(Z90)</f>
        <v>655.07000000000005</v>
      </c>
      <c r="AA91" s="7">
        <f>(((AA87)+(AA88))+(AA89))+(AA90)</f>
        <v>141.66</v>
      </c>
      <c r="AB91" s="7">
        <f t="shared" si="87"/>
        <v>513.41000000000008</v>
      </c>
      <c r="AC91" s="8">
        <f t="shared" si="88"/>
        <v>4.6242411407595654</v>
      </c>
      <c r="AD91" s="7">
        <f>(((AD87)+(AD88))+(AD89))+(AD90)</f>
        <v>113.8</v>
      </c>
      <c r="AE91" s="7">
        <f>(((AE87)+(AE88))+(AE89))+(AE90)</f>
        <v>141.66</v>
      </c>
      <c r="AF91" s="7">
        <f t="shared" si="89"/>
        <v>-27.86</v>
      </c>
      <c r="AG91" s="8">
        <f t="shared" si="90"/>
        <v>0.80333192150218835</v>
      </c>
      <c r="AH91" s="7">
        <f>(((AH87)+(AH88))+(AH89))+(AH90)</f>
        <v>0</v>
      </c>
      <c r="AI91" s="7">
        <f>(((AI87)+(AI88))+(AI89))+(AI90)</f>
        <v>141.66</v>
      </c>
      <c r="AJ91" s="7">
        <f t="shared" si="91"/>
        <v>-141.66</v>
      </c>
      <c r="AK91" s="8">
        <f t="shared" si="92"/>
        <v>0</v>
      </c>
      <c r="AL91" s="7">
        <f>(((AL87)+(AL88))+(AL89))+(AL90)</f>
        <v>0</v>
      </c>
      <c r="AM91" s="7">
        <f>(((AM87)+(AM88))+(AM89))+(AM90)</f>
        <v>141.66</v>
      </c>
      <c r="AN91" s="7">
        <f t="shared" si="93"/>
        <v>-141.66</v>
      </c>
      <c r="AO91" s="7">
        <f>(((AO87)+(AO88))+(AO89))+(AO90)</f>
        <v>0</v>
      </c>
      <c r="AP91" s="7">
        <f>(((AP87)+(AP88))+(AP89))+(AP90)</f>
        <v>141.66</v>
      </c>
      <c r="AQ91" s="7">
        <f t="shared" si="94"/>
        <v>-141.66</v>
      </c>
      <c r="AR91" s="7">
        <f>(((AR87)+(AR88))+(AR89))+(AR90)</f>
        <v>0</v>
      </c>
      <c r="AS91" s="7">
        <f>(((AS87)+(AS88))+(AS89))+(AS90)</f>
        <v>141.74</v>
      </c>
      <c r="AT91" s="7">
        <f t="shared" si="95"/>
        <v>-141.74</v>
      </c>
      <c r="AU91" s="25">
        <f t="shared" si="73"/>
        <v>1107.33</v>
      </c>
      <c r="AV91" s="16">
        <f t="shared" si="96"/>
        <v>1328.7959999999998</v>
      </c>
      <c r="AW91" s="26">
        <f t="shared" si="74"/>
        <v>1700.0000000000002</v>
      </c>
      <c r="AX91" s="16">
        <f t="shared" si="97"/>
        <v>-592.6700000000003</v>
      </c>
      <c r="AY91" s="25">
        <f>BB91</f>
        <v>723</v>
      </c>
      <c r="AZ91" s="18">
        <f>AY91-AW91</f>
        <v>-977.00000000000023</v>
      </c>
      <c r="BA91" s="13"/>
      <c r="BB91" s="26">
        <f>SUM(BB88:BB90)</f>
        <v>723</v>
      </c>
    </row>
    <row r="92" spans="1:54" x14ac:dyDescent="0.25">
      <c r="A92" s="3" t="s">
        <v>99</v>
      </c>
      <c r="B92" s="4"/>
      <c r="C92" s="4"/>
      <c r="D92" s="5">
        <f t="shared" si="75"/>
        <v>0</v>
      </c>
      <c r="E92" s="6" t="str">
        <f t="shared" si="76"/>
        <v/>
      </c>
      <c r="F92" s="4"/>
      <c r="G92" s="4"/>
      <c r="H92" s="5">
        <f t="shared" si="77"/>
        <v>0</v>
      </c>
      <c r="I92" s="6" t="str">
        <f t="shared" si="78"/>
        <v/>
      </c>
      <c r="J92" s="4"/>
      <c r="K92" s="4"/>
      <c r="L92" s="5">
        <f t="shared" si="79"/>
        <v>0</v>
      </c>
      <c r="M92" s="6" t="str">
        <f t="shared" si="80"/>
        <v/>
      </c>
      <c r="N92" s="4"/>
      <c r="O92" s="4"/>
      <c r="P92" s="5">
        <f t="shared" si="81"/>
        <v>0</v>
      </c>
      <c r="Q92" s="6" t="str">
        <f t="shared" si="82"/>
        <v/>
      </c>
      <c r="R92" s="4"/>
      <c r="S92" s="4"/>
      <c r="T92" s="5">
        <f t="shared" si="83"/>
        <v>0</v>
      </c>
      <c r="U92" s="6" t="str">
        <f t="shared" si="84"/>
        <v/>
      </c>
      <c r="V92" s="4"/>
      <c r="W92" s="4"/>
      <c r="X92" s="5">
        <f t="shared" si="85"/>
        <v>0</v>
      </c>
      <c r="Y92" s="6" t="str">
        <f t="shared" si="86"/>
        <v/>
      </c>
      <c r="Z92" s="4"/>
      <c r="AA92" s="4"/>
      <c r="AB92" s="5">
        <f t="shared" si="87"/>
        <v>0</v>
      </c>
      <c r="AC92" s="6" t="str">
        <f t="shared" si="88"/>
        <v/>
      </c>
      <c r="AD92" s="4"/>
      <c r="AE92" s="4"/>
      <c r="AF92" s="5">
        <f t="shared" si="89"/>
        <v>0</v>
      </c>
      <c r="AG92" s="6" t="str">
        <f t="shared" si="90"/>
        <v/>
      </c>
      <c r="AH92" s="4"/>
      <c r="AI92" s="4"/>
      <c r="AJ92" s="5">
        <f t="shared" si="91"/>
        <v>0</v>
      </c>
      <c r="AK92" s="6" t="str">
        <f t="shared" si="92"/>
        <v/>
      </c>
      <c r="AL92" s="4"/>
      <c r="AM92" s="4"/>
      <c r="AN92" s="5">
        <f t="shared" si="93"/>
        <v>0</v>
      </c>
      <c r="AO92" s="4"/>
      <c r="AP92" s="4"/>
      <c r="AQ92" s="5">
        <f t="shared" si="94"/>
        <v>0</v>
      </c>
      <c r="AR92" s="4"/>
      <c r="AS92" s="4"/>
      <c r="AT92" s="5">
        <f t="shared" si="95"/>
        <v>0</v>
      </c>
      <c r="AU92" s="23">
        <f t="shared" si="73"/>
        <v>0</v>
      </c>
      <c r="AV92" s="14">
        <f t="shared" si="96"/>
        <v>0</v>
      </c>
      <c r="AW92" s="24">
        <f t="shared" si="74"/>
        <v>0</v>
      </c>
      <c r="AX92" s="14">
        <f t="shared" si="97"/>
        <v>0</v>
      </c>
      <c r="AY92" s="23"/>
      <c r="AZ92" s="14"/>
      <c r="BA92" s="13"/>
      <c r="BB92" s="24"/>
    </row>
    <row r="93" spans="1:54" x14ac:dyDescent="0.25">
      <c r="A93" s="3" t="s">
        <v>100</v>
      </c>
      <c r="B93" s="5">
        <f>1109.88</f>
        <v>1109.8800000000001</v>
      </c>
      <c r="C93" s="5">
        <f>325</f>
        <v>325</v>
      </c>
      <c r="D93" s="5">
        <f t="shared" si="75"/>
        <v>784.88000000000011</v>
      </c>
      <c r="E93" s="6">
        <f t="shared" si="76"/>
        <v>3.4150153846153848</v>
      </c>
      <c r="F93" s="5">
        <f>0</f>
        <v>0</v>
      </c>
      <c r="G93" s="5">
        <f>325</f>
        <v>325</v>
      </c>
      <c r="H93" s="5">
        <f t="shared" si="77"/>
        <v>-325</v>
      </c>
      <c r="I93" s="6">
        <f t="shared" si="78"/>
        <v>0</v>
      </c>
      <c r="J93" s="5">
        <f>0</f>
        <v>0</v>
      </c>
      <c r="K93" s="5">
        <f>325</f>
        <v>325</v>
      </c>
      <c r="L93" s="5">
        <f t="shared" si="79"/>
        <v>-325</v>
      </c>
      <c r="M93" s="6">
        <f t="shared" si="80"/>
        <v>0</v>
      </c>
      <c r="N93" s="5">
        <f>497.25</f>
        <v>497.25</v>
      </c>
      <c r="O93" s="5">
        <f>325</f>
        <v>325</v>
      </c>
      <c r="P93" s="5">
        <f t="shared" si="81"/>
        <v>172.25</v>
      </c>
      <c r="Q93" s="6">
        <f t="shared" si="82"/>
        <v>1.53</v>
      </c>
      <c r="R93" s="5">
        <f>292.5</f>
        <v>292.5</v>
      </c>
      <c r="S93" s="5">
        <f>325</f>
        <v>325</v>
      </c>
      <c r="T93" s="5">
        <f t="shared" si="83"/>
        <v>-32.5</v>
      </c>
      <c r="U93" s="6">
        <f t="shared" si="84"/>
        <v>0.9</v>
      </c>
      <c r="V93" s="5">
        <f>996.13</f>
        <v>996.13</v>
      </c>
      <c r="W93" s="5">
        <f>325</f>
        <v>325</v>
      </c>
      <c r="X93" s="5">
        <f t="shared" si="85"/>
        <v>671.13</v>
      </c>
      <c r="Y93" s="6">
        <f t="shared" si="86"/>
        <v>3.0650153846153847</v>
      </c>
      <c r="Z93" s="5">
        <f>0</f>
        <v>0</v>
      </c>
      <c r="AA93" s="5">
        <f>325</f>
        <v>325</v>
      </c>
      <c r="AB93" s="5">
        <f t="shared" si="87"/>
        <v>-325</v>
      </c>
      <c r="AC93" s="6">
        <f t="shared" si="88"/>
        <v>0</v>
      </c>
      <c r="AD93" s="5">
        <f>0</f>
        <v>0</v>
      </c>
      <c r="AE93" s="5">
        <f>325</f>
        <v>325</v>
      </c>
      <c r="AF93" s="5">
        <f t="shared" si="89"/>
        <v>-325</v>
      </c>
      <c r="AG93" s="6">
        <f t="shared" si="90"/>
        <v>0</v>
      </c>
      <c r="AH93" s="5">
        <f>0</f>
        <v>0</v>
      </c>
      <c r="AI93" s="5">
        <f>325</f>
        <v>325</v>
      </c>
      <c r="AJ93" s="5">
        <f t="shared" si="91"/>
        <v>-325</v>
      </c>
      <c r="AK93" s="6">
        <f t="shared" si="92"/>
        <v>0</v>
      </c>
      <c r="AL93" s="5">
        <f>0</f>
        <v>0</v>
      </c>
      <c r="AM93" s="5">
        <f>325</f>
        <v>325</v>
      </c>
      <c r="AN93" s="5">
        <f t="shared" si="93"/>
        <v>-325</v>
      </c>
      <c r="AO93" s="4"/>
      <c r="AP93" s="5">
        <f>325</f>
        <v>325</v>
      </c>
      <c r="AQ93" s="5">
        <f t="shared" si="94"/>
        <v>-325</v>
      </c>
      <c r="AR93" s="4"/>
      <c r="AS93" s="5">
        <f>325</f>
        <v>325</v>
      </c>
      <c r="AT93" s="5">
        <f t="shared" si="95"/>
        <v>-325</v>
      </c>
      <c r="AU93" s="23">
        <f t="shared" si="73"/>
        <v>2895.76</v>
      </c>
      <c r="AV93" s="14">
        <f t="shared" si="96"/>
        <v>3474.9120000000003</v>
      </c>
      <c r="AW93" s="24">
        <f t="shared" si="74"/>
        <v>3900</v>
      </c>
      <c r="AX93" s="14">
        <f t="shared" si="97"/>
        <v>-1004.2399999999998</v>
      </c>
      <c r="AY93" s="23"/>
      <c r="AZ93" s="14"/>
      <c r="BA93" s="13" t="s">
        <v>174</v>
      </c>
      <c r="BB93" s="24">
        <v>6000</v>
      </c>
    </row>
    <row r="94" spans="1:54" x14ac:dyDescent="0.25">
      <c r="A94" s="3" t="s">
        <v>101</v>
      </c>
      <c r="B94" s="5">
        <f>597.62</f>
        <v>597.62</v>
      </c>
      <c r="C94" s="5">
        <f>175</f>
        <v>175</v>
      </c>
      <c r="D94" s="5">
        <f t="shared" si="75"/>
        <v>422.62</v>
      </c>
      <c r="E94" s="6">
        <f t="shared" si="76"/>
        <v>3.4149714285714285</v>
      </c>
      <c r="F94" s="5">
        <f>0</f>
        <v>0</v>
      </c>
      <c r="G94" s="5">
        <f>175</f>
        <v>175</v>
      </c>
      <c r="H94" s="5">
        <f t="shared" si="77"/>
        <v>-175</v>
      </c>
      <c r="I94" s="6">
        <f t="shared" si="78"/>
        <v>0</v>
      </c>
      <c r="J94" s="5">
        <f>0</f>
        <v>0</v>
      </c>
      <c r="K94" s="5">
        <f>175</f>
        <v>175</v>
      </c>
      <c r="L94" s="5">
        <f t="shared" si="79"/>
        <v>-175</v>
      </c>
      <c r="M94" s="6">
        <f t="shared" si="80"/>
        <v>0</v>
      </c>
      <c r="N94" s="5">
        <f>267.75</f>
        <v>267.75</v>
      </c>
      <c r="O94" s="5">
        <f>175</f>
        <v>175</v>
      </c>
      <c r="P94" s="5">
        <f t="shared" si="81"/>
        <v>92.75</v>
      </c>
      <c r="Q94" s="6">
        <f t="shared" si="82"/>
        <v>1.53</v>
      </c>
      <c r="R94" s="5">
        <f>157.5</f>
        <v>157.5</v>
      </c>
      <c r="S94" s="5">
        <f>175</f>
        <v>175</v>
      </c>
      <c r="T94" s="5">
        <f t="shared" si="83"/>
        <v>-17.5</v>
      </c>
      <c r="U94" s="6">
        <f t="shared" si="84"/>
        <v>0.9</v>
      </c>
      <c r="V94" s="5">
        <f>536.38</f>
        <v>536.38</v>
      </c>
      <c r="W94" s="5">
        <f>175</f>
        <v>175</v>
      </c>
      <c r="X94" s="5">
        <f t="shared" si="85"/>
        <v>361.38</v>
      </c>
      <c r="Y94" s="6">
        <f t="shared" si="86"/>
        <v>3.0650285714285714</v>
      </c>
      <c r="Z94" s="5">
        <f>0</f>
        <v>0</v>
      </c>
      <c r="AA94" s="5">
        <f>175</f>
        <v>175</v>
      </c>
      <c r="AB94" s="5">
        <f t="shared" si="87"/>
        <v>-175</v>
      </c>
      <c r="AC94" s="6">
        <f t="shared" si="88"/>
        <v>0</v>
      </c>
      <c r="AD94" s="5">
        <f>0</f>
        <v>0</v>
      </c>
      <c r="AE94" s="5">
        <f>175</f>
        <v>175</v>
      </c>
      <c r="AF94" s="5">
        <f t="shared" si="89"/>
        <v>-175</v>
      </c>
      <c r="AG94" s="6">
        <f t="shared" si="90"/>
        <v>0</v>
      </c>
      <c r="AH94" s="5">
        <f>0</f>
        <v>0</v>
      </c>
      <c r="AI94" s="5">
        <f>175</f>
        <v>175</v>
      </c>
      <c r="AJ94" s="5">
        <f t="shared" si="91"/>
        <v>-175</v>
      </c>
      <c r="AK94" s="6">
        <f t="shared" si="92"/>
        <v>0</v>
      </c>
      <c r="AL94" s="5">
        <f>0</f>
        <v>0</v>
      </c>
      <c r="AM94" s="5">
        <f>175</f>
        <v>175</v>
      </c>
      <c r="AN94" s="5">
        <f t="shared" si="93"/>
        <v>-175</v>
      </c>
      <c r="AO94" s="4"/>
      <c r="AP94" s="5">
        <f>175</f>
        <v>175</v>
      </c>
      <c r="AQ94" s="5">
        <f t="shared" si="94"/>
        <v>-175</v>
      </c>
      <c r="AR94" s="4"/>
      <c r="AS94" s="5">
        <f>175</f>
        <v>175</v>
      </c>
      <c r="AT94" s="5">
        <f t="shared" si="95"/>
        <v>-175</v>
      </c>
      <c r="AU94" s="23">
        <f t="shared" si="73"/>
        <v>1559.25</v>
      </c>
      <c r="AV94" s="14">
        <f t="shared" si="96"/>
        <v>1871.1000000000001</v>
      </c>
      <c r="AW94" s="24">
        <f t="shared" si="74"/>
        <v>2100</v>
      </c>
      <c r="AX94" s="14">
        <f t="shared" si="97"/>
        <v>-540.75</v>
      </c>
      <c r="AY94" s="23"/>
      <c r="AZ94" s="14"/>
      <c r="BA94" s="13"/>
      <c r="BB94" s="24"/>
    </row>
    <row r="95" spans="1:54" ht="23.25" x14ac:dyDescent="0.25">
      <c r="A95" s="3" t="s">
        <v>102</v>
      </c>
      <c r="B95" s="5">
        <f>0</f>
        <v>0</v>
      </c>
      <c r="C95" s="4"/>
      <c r="D95" s="5">
        <f t="shared" si="75"/>
        <v>0</v>
      </c>
      <c r="E95" s="6" t="str">
        <f t="shared" si="76"/>
        <v/>
      </c>
      <c r="F95" s="5">
        <f>0</f>
        <v>0</v>
      </c>
      <c r="G95" s="4"/>
      <c r="H95" s="5">
        <f t="shared" si="77"/>
        <v>0</v>
      </c>
      <c r="I95" s="6" t="str">
        <f t="shared" si="78"/>
        <v/>
      </c>
      <c r="J95" s="5">
        <f>0</f>
        <v>0</v>
      </c>
      <c r="K95" s="4"/>
      <c r="L95" s="5">
        <f t="shared" si="79"/>
        <v>0</v>
      </c>
      <c r="M95" s="6" t="str">
        <f t="shared" si="80"/>
        <v/>
      </c>
      <c r="N95" s="5">
        <f>0</f>
        <v>0</v>
      </c>
      <c r="O95" s="4"/>
      <c r="P95" s="5">
        <f t="shared" si="81"/>
        <v>0</v>
      </c>
      <c r="Q95" s="6" t="str">
        <f t="shared" si="82"/>
        <v/>
      </c>
      <c r="R95" s="5">
        <f>0</f>
        <v>0</v>
      </c>
      <c r="S95" s="4"/>
      <c r="T95" s="5">
        <f t="shared" si="83"/>
        <v>0</v>
      </c>
      <c r="U95" s="6" t="str">
        <f t="shared" si="84"/>
        <v/>
      </c>
      <c r="V95" s="5">
        <f>0</f>
        <v>0</v>
      </c>
      <c r="W95" s="4"/>
      <c r="X95" s="5">
        <f t="shared" si="85"/>
        <v>0</v>
      </c>
      <c r="Y95" s="6" t="str">
        <f t="shared" si="86"/>
        <v/>
      </c>
      <c r="Z95" s="5">
        <f>0</f>
        <v>0</v>
      </c>
      <c r="AA95" s="4"/>
      <c r="AB95" s="5">
        <f t="shared" si="87"/>
        <v>0</v>
      </c>
      <c r="AC95" s="6" t="str">
        <f t="shared" si="88"/>
        <v/>
      </c>
      <c r="AD95" s="5">
        <f>0.01</f>
        <v>0.01</v>
      </c>
      <c r="AE95" s="4"/>
      <c r="AF95" s="5">
        <f t="shared" si="89"/>
        <v>0.01</v>
      </c>
      <c r="AG95" s="6" t="str">
        <f t="shared" si="90"/>
        <v/>
      </c>
      <c r="AH95" s="5">
        <f>0</f>
        <v>0</v>
      </c>
      <c r="AI95" s="4"/>
      <c r="AJ95" s="5">
        <f t="shared" si="91"/>
        <v>0</v>
      </c>
      <c r="AK95" s="6" t="str">
        <f t="shared" si="92"/>
        <v/>
      </c>
      <c r="AL95" s="5">
        <f>0</f>
        <v>0</v>
      </c>
      <c r="AM95" s="4"/>
      <c r="AN95" s="5">
        <f t="shared" si="93"/>
        <v>0</v>
      </c>
      <c r="AO95" s="4"/>
      <c r="AP95" s="4"/>
      <c r="AQ95" s="5">
        <f t="shared" si="94"/>
        <v>0</v>
      </c>
      <c r="AR95" s="4"/>
      <c r="AS95" s="4"/>
      <c r="AT95" s="5">
        <f t="shared" si="95"/>
        <v>0</v>
      </c>
      <c r="AU95" s="23">
        <f t="shared" si="73"/>
        <v>0.01</v>
      </c>
      <c r="AV95" s="14">
        <f t="shared" si="96"/>
        <v>1.2E-2</v>
      </c>
      <c r="AW95" s="24">
        <f t="shared" si="74"/>
        <v>0</v>
      </c>
      <c r="AX95" s="14">
        <f t="shared" si="97"/>
        <v>0.01</v>
      </c>
      <c r="AY95" s="23"/>
      <c r="AZ95" s="14"/>
      <c r="BA95" s="13"/>
      <c r="BB95" s="24"/>
    </row>
    <row r="96" spans="1:54" x14ac:dyDescent="0.25">
      <c r="A96" s="3" t="s">
        <v>103</v>
      </c>
      <c r="B96" s="7">
        <f>(((B92)+(B93))+(B94))+(B95)</f>
        <v>1707.5</v>
      </c>
      <c r="C96" s="7">
        <f>(((C92)+(C93))+(C94))+(C95)</f>
        <v>500</v>
      </c>
      <c r="D96" s="7">
        <f t="shared" si="75"/>
        <v>1207.5</v>
      </c>
      <c r="E96" s="8">
        <f t="shared" si="76"/>
        <v>3.415</v>
      </c>
      <c r="F96" s="7">
        <f>(((F92)+(F93))+(F94))+(F95)</f>
        <v>0</v>
      </c>
      <c r="G96" s="7">
        <f>(((G92)+(G93))+(G94))+(G95)</f>
        <v>500</v>
      </c>
      <c r="H96" s="7">
        <f t="shared" si="77"/>
        <v>-500</v>
      </c>
      <c r="I96" s="8">
        <f t="shared" si="78"/>
        <v>0</v>
      </c>
      <c r="J96" s="7">
        <f>(((J92)+(J93))+(J94))+(J95)</f>
        <v>0</v>
      </c>
      <c r="K96" s="7">
        <f>(((K92)+(K93))+(K94))+(K95)</f>
        <v>500</v>
      </c>
      <c r="L96" s="7">
        <f t="shared" si="79"/>
        <v>-500</v>
      </c>
      <c r="M96" s="8">
        <f t="shared" si="80"/>
        <v>0</v>
      </c>
      <c r="N96" s="7">
        <f>(((N92)+(N93))+(N94))+(N95)</f>
        <v>765</v>
      </c>
      <c r="O96" s="7">
        <f>(((O92)+(O93))+(O94))+(O95)</f>
        <v>500</v>
      </c>
      <c r="P96" s="7">
        <f t="shared" si="81"/>
        <v>265</v>
      </c>
      <c r="Q96" s="8">
        <f t="shared" si="82"/>
        <v>1.53</v>
      </c>
      <c r="R96" s="7">
        <f>(((R92)+(R93))+(R94))+(R95)</f>
        <v>450</v>
      </c>
      <c r="S96" s="7">
        <f>(((S92)+(S93))+(S94))+(S95)</f>
        <v>500</v>
      </c>
      <c r="T96" s="7">
        <f t="shared" si="83"/>
        <v>-50</v>
      </c>
      <c r="U96" s="8">
        <f t="shared" si="84"/>
        <v>0.9</v>
      </c>
      <c r="V96" s="7">
        <f>(((V92)+(V93))+(V94))+(V95)</f>
        <v>1532.51</v>
      </c>
      <c r="W96" s="7">
        <f>(((W92)+(W93))+(W94))+(W95)</f>
        <v>500</v>
      </c>
      <c r="X96" s="7">
        <f t="shared" si="85"/>
        <v>1032.51</v>
      </c>
      <c r="Y96" s="8">
        <f t="shared" si="86"/>
        <v>3.0650200000000001</v>
      </c>
      <c r="Z96" s="7">
        <f>(((Z92)+(Z93))+(Z94))+(Z95)</f>
        <v>0</v>
      </c>
      <c r="AA96" s="7">
        <f>(((AA92)+(AA93))+(AA94))+(AA95)</f>
        <v>500</v>
      </c>
      <c r="AB96" s="7">
        <f t="shared" si="87"/>
        <v>-500</v>
      </c>
      <c r="AC96" s="8">
        <f t="shared" si="88"/>
        <v>0</v>
      </c>
      <c r="AD96" s="7">
        <f>(((AD92)+(AD93))+(AD94))+(AD95)</f>
        <v>0.01</v>
      </c>
      <c r="AE96" s="7">
        <f>(((AE92)+(AE93))+(AE94))+(AE95)</f>
        <v>500</v>
      </c>
      <c r="AF96" s="7">
        <f t="shared" si="89"/>
        <v>-499.99</v>
      </c>
      <c r="AG96" s="8">
        <f t="shared" si="90"/>
        <v>2.0000000000000002E-5</v>
      </c>
      <c r="AH96" s="7">
        <f>(((AH92)+(AH93))+(AH94))+(AH95)</f>
        <v>0</v>
      </c>
      <c r="AI96" s="7">
        <f>(((AI92)+(AI93))+(AI94))+(AI95)</f>
        <v>500</v>
      </c>
      <c r="AJ96" s="7">
        <f t="shared" si="91"/>
        <v>-500</v>
      </c>
      <c r="AK96" s="8">
        <f t="shared" si="92"/>
        <v>0</v>
      </c>
      <c r="AL96" s="7">
        <f>(((AL92)+(AL93))+(AL94))+(AL95)</f>
        <v>0</v>
      </c>
      <c r="AM96" s="7">
        <f>(((AM92)+(AM93))+(AM94))+(AM95)</f>
        <v>500</v>
      </c>
      <c r="AN96" s="7">
        <f t="shared" si="93"/>
        <v>-500</v>
      </c>
      <c r="AO96" s="7">
        <f>(((AO92)+(AO93))+(AO94))+(AO95)</f>
        <v>0</v>
      </c>
      <c r="AP96" s="7">
        <f>(((AP92)+(AP93))+(AP94))+(AP95)</f>
        <v>500</v>
      </c>
      <c r="AQ96" s="7">
        <f t="shared" si="94"/>
        <v>-500</v>
      </c>
      <c r="AR96" s="7">
        <f>(((AR92)+(AR93))+(AR94))+(AR95)</f>
        <v>0</v>
      </c>
      <c r="AS96" s="7">
        <f>(((AS92)+(AS93))+(AS94))+(AS95)</f>
        <v>500</v>
      </c>
      <c r="AT96" s="7">
        <f t="shared" si="95"/>
        <v>-500</v>
      </c>
      <c r="AU96" s="25">
        <f t="shared" si="73"/>
        <v>4455.0200000000004</v>
      </c>
      <c r="AV96" s="16">
        <f t="shared" si="96"/>
        <v>5346.0240000000013</v>
      </c>
      <c r="AW96" s="26">
        <f t="shared" si="74"/>
        <v>6000</v>
      </c>
      <c r="AX96" s="16">
        <f t="shared" si="97"/>
        <v>-1544.9799999999996</v>
      </c>
      <c r="AY96" s="25">
        <f>BB96</f>
        <v>6000</v>
      </c>
      <c r="AZ96" s="18">
        <f>AY96-AW96</f>
        <v>0</v>
      </c>
      <c r="BA96" s="13"/>
      <c r="BB96" s="26">
        <f>SUM(BB93:BB95)</f>
        <v>6000</v>
      </c>
    </row>
    <row r="97" spans="1:54" x14ac:dyDescent="0.25">
      <c r="A97" s="3" t="s">
        <v>104</v>
      </c>
      <c r="B97" s="4"/>
      <c r="C97" s="4"/>
      <c r="D97" s="5">
        <f t="shared" si="75"/>
        <v>0</v>
      </c>
      <c r="E97" s="6" t="str">
        <f t="shared" si="76"/>
        <v/>
      </c>
      <c r="F97" s="4"/>
      <c r="G97" s="4"/>
      <c r="H97" s="5">
        <f t="shared" si="77"/>
        <v>0</v>
      </c>
      <c r="I97" s="6" t="str">
        <f t="shared" si="78"/>
        <v/>
      </c>
      <c r="J97" s="4"/>
      <c r="K97" s="4"/>
      <c r="L97" s="5">
        <f t="shared" si="79"/>
        <v>0</v>
      </c>
      <c r="M97" s="6" t="str">
        <f t="shared" si="80"/>
        <v/>
      </c>
      <c r="N97" s="4"/>
      <c r="O97" s="4"/>
      <c r="P97" s="5">
        <f t="shared" si="81"/>
        <v>0</v>
      </c>
      <c r="Q97" s="6" t="str">
        <f t="shared" si="82"/>
        <v/>
      </c>
      <c r="R97" s="4"/>
      <c r="S97" s="4"/>
      <c r="T97" s="5">
        <f t="shared" si="83"/>
        <v>0</v>
      </c>
      <c r="U97" s="6" t="str">
        <f t="shared" si="84"/>
        <v/>
      </c>
      <c r="V97" s="4"/>
      <c r="W97" s="4"/>
      <c r="X97" s="5">
        <f t="shared" si="85"/>
        <v>0</v>
      </c>
      <c r="Y97" s="6" t="str">
        <f t="shared" si="86"/>
        <v/>
      </c>
      <c r="Z97" s="4"/>
      <c r="AA97" s="4"/>
      <c r="AB97" s="5">
        <f t="shared" si="87"/>
        <v>0</v>
      </c>
      <c r="AC97" s="6" t="str">
        <f t="shared" si="88"/>
        <v/>
      </c>
      <c r="AD97" s="4"/>
      <c r="AE97" s="4"/>
      <c r="AF97" s="5">
        <f t="shared" si="89"/>
        <v>0</v>
      </c>
      <c r="AG97" s="6" t="str">
        <f t="shared" si="90"/>
        <v/>
      </c>
      <c r="AH97" s="4"/>
      <c r="AI97" s="4"/>
      <c r="AJ97" s="5">
        <f t="shared" si="91"/>
        <v>0</v>
      </c>
      <c r="AK97" s="6" t="str">
        <f t="shared" si="92"/>
        <v/>
      </c>
      <c r="AL97" s="4"/>
      <c r="AM97" s="4"/>
      <c r="AN97" s="5">
        <f t="shared" si="93"/>
        <v>0</v>
      </c>
      <c r="AO97" s="4"/>
      <c r="AP97" s="4"/>
      <c r="AQ97" s="5">
        <f t="shared" si="94"/>
        <v>0</v>
      </c>
      <c r="AR97" s="4"/>
      <c r="AS97" s="4"/>
      <c r="AT97" s="5">
        <f t="shared" si="95"/>
        <v>0</v>
      </c>
      <c r="AU97" s="23">
        <f t="shared" si="73"/>
        <v>0</v>
      </c>
      <c r="AV97" s="14">
        <f t="shared" si="96"/>
        <v>0</v>
      </c>
      <c r="AW97" s="24">
        <f t="shared" si="74"/>
        <v>0</v>
      </c>
      <c r="AX97" s="14">
        <f t="shared" si="97"/>
        <v>0</v>
      </c>
      <c r="AY97" s="23"/>
      <c r="AZ97" s="14"/>
      <c r="BA97" s="13"/>
      <c r="BB97" s="24"/>
    </row>
    <row r="98" spans="1:54" x14ac:dyDescent="0.25">
      <c r="A98" s="3" t="s">
        <v>105</v>
      </c>
      <c r="B98" s="4"/>
      <c r="C98" s="5">
        <f>270.83</f>
        <v>270.83</v>
      </c>
      <c r="D98" s="5">
        <f t="shared" si="75"/>
        <v>-270.83</v>
      </c>
      <c r="E98" s="6">
        <f t="shared" si="76"/>
        <v>0</v>
      </c>
      <c r="F98" s="4"/>
      <c r="G98" s="5">
        <f>270.83</f>
        <v>270.83</v>
      </c>
      <c r="H98" s="5">
        <f t="shared" si="77"/>
        <v>-270.83</v>
      </c>
      <c r="I98" s="6">
        <f t="shared" si="78"/>
        <v>0</v>
      </c>
      <c r="J98" s="4"/>
      <c r="K98" s="5">
        <f>270.83</f>
        <v>270.83</v>
      </c>
      <c r="L98" s="5">
        <f t="shared" si="79"/>
        <v>-270.83</v>
      </c>
      <c r="M98" s="6">
        <f t="shared" si="80"/>
        <v>0</v>
      </c>
      <c r="N98" s="4"/>
      <c r="O98" s="5">
        <f>270.83</f>
        <v>270.83</v>
      </c>
      <c r="P98" s="5">
        <f t="shared" si="81"/>
        <v>-270.83</v>
      </c>
      <c r="Q98" s="6">
        <f t="shared" si="82"/>
        <v>0</v>
      </c>
      <c r="R98" s="4"/>
      <c r="S98" s="5">
        <f>270.83</f>
        <v>270.83</v>
      </c>
      <c r="T98" s="5">
        <f t="shared" si="83"/>
        <v>-270.83</v>
      </c>
      <c r="U98" s="6">
        <f t="shared" si="84"/>
        <v>0</v>
      </c>
      <c r="V98" s="4"/>
      <c r="W98" s="5">
        <f>270.83</f>
        <v>270.83</v>
      </c>
      <c r="X98" s="5">
        <f t="shared" si="85"/>
        <v>-270.83</v>
      </c>
      <c r="Y98" s="6">
        <f t="shared" si="86"/>
        <v>0</v>
      </c>
      <c r="Z98" s="4"/>
      <c r="AA98" s="5">
        <f>270.83</f>
        <v>270.83</v>
      </c>
      <c r="AB98" s="5">
        <f t="shared" si="87"/>
        <v>-270.83</v>
      </c>
      <c r="AC98" s="6">
        <f t="shared" si="88"/>
        <v>0</v>
      </c>
      <c r="AD98" s="4"/>
      <c r="AE98" s="5">
        <f>270.83</f>
        <v>270.83</v>
      </c>
      <c r="AF98" s="5">
        <f t="shared" si="89"/>
        <v>-270.83</v>
      </c>
      <c r="AG98" s="6">
        <f t="shared" si="90"/>
        <v>0</v>
      </c>
      <c r="AH98" s="4"/>
      <c r="AI98" s="5">
        <f>270.83</f>
        <v>270.83</v>
      </c>
      <c r="AJ98" s="5">
        <f t="shared" si="91"/>
        <v>-270.83</v>
      </c>
      <c r="AK98" s="6">
        <f t="shared" si="92"/>
        <v>0</v>
      </c>
      <c r="AL98" s="4"/>
      <c r="AM98" s="5">
        <f>270.83</f>
        <v>270.83</v>
      </c>
      <c r="AN98" s="5">
        <f t="shared" si="93"/>
        <v>-270.83</v>
      </c>
      <c r="AO98" s="4"/>
      <c r="AP98" s="5">
        <f>270.83</f>
        <v>270.83</v>
      </c>
      <c r="AQ98" s="5">
        <f t="shared" si="94"/>
        <v>-270.83</v>
      </c>
      <c r="AR98" s="4"/>
      <c r="AS98" s="5">
        <f>270.87</f>
        <v>270.87</v>
      </c>
      <c r="AT98" s="5">
        <f t="shared" si="95"/>
        <v>-270.87</v>
      </c>
      <c r="AU98" s="23">
        <f t="shared" si="73"/>
        <v>0</v>
      </c>
      <c r="AV98" s="14">
        <f t="shared" si="96"/>
        <v>0</v>
      </c>
      <c r="AW98" s="24">
        <f t="shared" si="74"/>
        <v>3249.9999999999995</v>
      </c>
      <c r="AX98" s="14">
        <f t="shared" si="97"/>
        <v>-3249.9999999999995</v>
      </c>
      <c r="AY98" s="23"/>
      <c r="AZ98" s="14"/>
      <c r="BA98" s="13" t="s">
        <v>175</v>
      </c>
      <c r="BB98" s="24">
        <v>2100</v>
      </c>
    </row>
    <row r="99" spans="1:54" x14ac:dyDescent="0.25">
      <c r="A99" s="3" t="s">
        <v>106</v>
      </c>
      <c r="B99" s="4"/>
      <c r="C99" s="5">
        <f>145.83</f>
        <v>145.83000000000001</v>
      </c>
      <c r="D99" s="5">
        <f t="shared" si="75"/>
        <v>-145.83000000000001</v>
      </c>
      <c r="E99" s="6">
        <f t="shared" si="76"/>
        <v>0</v>
      </c>
      <c r="F99" s="4"/>
      <c r="G99" s="5">
        <f>145.83</f>
        <v>145.83000000000001</v>
      </c>
      <c r="H99" s="5">
        <f t="shared" si="77"/>
        <v>-145.83000000000001</v>
      </c>
      <c r="I99" s="6">
        <f t="shared" si="78"/>
        <v>0</v>
      </c>
      <c r="J99" s="4"/>
      <c r="K99" s="5">
        <f>145.83</f>
        <v>145.83000000000001</v>
      </c>
      <c r="L99" s="5">
        <f t="shared" si="79"/>
        <v>-145.83000000000001</v>
      </c>
      <c r="M99" s="6">
        <f t="shared" si="80"/>
        <v>0</v>
      </c>
      <c r="N99" s="4"/>
      <c r="O99" s="5">
        <f>145.83</f>
        <v>145.83000000000001</v>
      </c>
      <c r="P99" s="5">
        <f t="shared" si="81"/>
        <v>-145.83000000000001</v>
      </c>
      <c r="Q99" s="6">
        <f t="shared" si="82"/>
        <v>0</v>
      </c>
      <c r="R99" s="4"/>
      <c r="S99" s="5">
        <f>145.83</f>
        <v>145.83000000000001</v>
      </c>
      <c r="T99" s="5">
        <f t="shared" si="83"/>
        <v>-145.83000000000001</v>
      </c>
      <c r="U99" s="6">
        <f t="shared" si="84"/>
        <v>0</v>
      </c>
      <c r="V99" s="4"/>
      <c r="W99" s="5">
        <f>145.83</f>
        <v>145.83000000000001</v>
      </c>
      <c r="X99" s="5">
        <f t="shared" si="85"/>
        <v>-145.83000000000001</v>
      </c>
      <c r="Y99" s="6">
        <f t="shared" si="86"/>
        <v>0</v>
      </c>
      <c r="Z99" s="4"/>
      <c r="AA99" s="5">
        <f>145.83</f>
        <v>145.83000000000001</v>
      </c>
      <c r="AB99" s="5">
        <f t="shared" si="87"/>
        <v>-145.83000000000001</v>
      </c>
      <c r="AC99" s="6">
        <f t="shared" si="88"/>
        <v>0</v>
      </c>
      <c r="AD99" s="4"/>
      <c r="AE99" s="5">
        <f>145.83</f>
        <v>145.83000000000001</v>
      </c>
      <c r="AF99" s="5">
        <f t="shared" si="89"/>
        <v>-145.83000000000001</v>
      </c>
      <c r="AG99" s="6">
        <f t="shared" si="90"/>
        <v>0</v>
      </c>
      <c r="AH99" s="4"/>
      <c r="AI99" s="5">
        <f>145.83</f>
        <v>145.83000000000001</v>
      </c>
      <c r="AJ99" s="5">
        <f t="shared" si="91"/>
        <v>-145.83000000000001</v>
      </c>
      <c r="AK99" s="6">
        <f t="shared" si="92"/>
        <v>0</v>
      </c>
      <c r="AL99" s="4"/>
      <c r="AM99" s="5">
        <f>145.83</f>
        <v>145.83000000000001</v>
      </c>
      <c r="AN99" s="5">
        <f t="shared" si="93"/>
        <v>-145.83000000000001</v>
      </c>
      <c r="AO99" s="4"/>
      <c r="AP99" s="5">
        <f>145.83</f>
        <v>145.83000000000001</v>
      </c>
      <c r="AQ99" s="5">
        <f t="shared" si="94"/>
        <v>-145.83000000000001</v>
      </c>
      <c r="AR99" s="4"/>
      <c r="AS99" s="5">
        <f>145.87</f>
        <v>145.87</v>
      </c>
      <c r="AT99" s="5">
        <f t="shared" si="95"/>
        <v>-145.87</v>
      </c>
      <c r="AU99" s="23">
        <f t="shared" si="73"/>
        <v>0</v>
      </c>
      <c r="AV99" s="14">
        <f t="shared" si="96"/>
        <v>0</v>
      </c>
      <c r="AW99" s="24">
        <f t="shared" si="74"/>
        <v>1750</v>
      </c>
      <c r="AX99" s="14">
        <f t="shared" si="97"/>
        <v>-1750</v>
      </c>
      <c r="AY99" s="23"/>
      <c r="AZ99" s="14"/>
      <c r="BA99" s="13" t="s">
        <v>179</v>
      </c>
      <c r="BB99" s="24">
        <v>2000</v>
      </c>
    </row>
    <row r="100" spans="1:54" x14ac:dyDescent="0.25">
      <c r="A100" s="3" t="s">
        <v>107</v>
      </c>
      <c r="B100" s="7">
        <f>((B97)+(B98))+(B99)</f>
        <v>0</v>
      </c>
      <c r="C100" s="7">
        <f>((C97)+(C98))+(C99)</f>
        <v>416.65999999999997</v>
      </c>
      <c r="D100" s="7">
        <f t="shared" si="75"/>
        <v>-416.65999999999997</v>
      </c>
      <c r="E100" s="8">
        <f t="shared" si="76"/>
        <v>0</v>
      </c>
      <c r="F100" s="7">
        <f>((F97)+(F98))+(F99)</f>
        <v>0</v>
      </c>
      <c r="G100" s="7">
        <f>((G97)+(G98))+(G99)</f>
        <v>416.65999999999997</v>
      </c>
      <c r="H100" s="7">
        <f t="shared" si="77"/>
        <v>-416.65999999999997</v>
      </c>
      <c r="I100" s="8">
        <f t="shared" si="78"/>
        <v>0</v>
      </c>
      <c r="J100" s="7">
        <f>((J97)+(J98))+(J99)</f>
        <v>0</v>
      </c>
      <c r="K100" s="7">
        <f>((K97)+(K98))+(K99)</f>
        <v>416.65999999999997</v>
      </c>
      <c r="L100" s="7">
        <f t="shared" si="79"/>
        <v>-416.65999999999997</v>
      </c>
      <c r="M100" s="8">
        <f t="shared" si="80"/>
        <v>0</v>
      </c>
      <c r="N100" s="7">
        <f>((N97)+(N98))+(N99)</f>
        <v>0</v>
      </c>
      <c r="O100" s="7">
        <f>((O97)+(O98))+(O99)</f>
        <v>416.65999999999997</v>
      </c>
      <c r="P100" s="7">
        <f t="shared" si="81"/>
        <v>-416.65999999999997</v>
      </c>
      <c r="Q100" s="8">
        <f t="shared" si="82"/>
        <v>0</v>
      </c>
      <c r="R100" s="7">
        <f>((R97)+(R98))+(R99)</f>
        <v>0</v>
      </c>
      <c r="S100" s="7">
        <f>((S97)+(S98))+(S99)</f>
        <v>416.65999999999997</v>
      </c>
      <c r="T100" s="7">
        <f t="shared" si="83"/>
        <v>-416.65999999999997</v>
      </c>
      <c r="U100" s="8">
        <f t="shared" si="84"/>
        <v>0</v>
      </c>
      <c r="V100" s="7">
        <f>((V97)+(V98))+(V99)</f>
        <v>0</v>
      </c>
      <c r="W100" s="7">
        <f>((W97)+(W98))+(W99)</f>
        <v>416.65999999999997</v>
      </c>
      <c r="X100" s="7">
        <f t="shared" si="85"/>
        <v>-416.65999999999997</v>
      </c>
      <c r="Y100" s="8">
        <f t="shared" si="86"/>
        <v>0</v>
      </c>
      <c r="Z100" s="7">
        <f>((Z97)+(Z98))+(Z99)</f>
        <v>0</v>
      </c>
      <c r="AA100" s="7">
        <f>((AA97)+(AA98))+(AA99)</f>
        <v>416.65999999999997</v>
      </c>
      <c r="AB100" s="7">
        <f t="shared" si="87"/>
        <v>-416.65999999999997</v>
      </c>
      <c r="AC100" s="8">
        <f t="shared" si="88"/>
        <v>0</v>
      </c>
      <c r="AD100" s="7">
        <f>((AD97)+(AD98))+(AD99)</f>
        <v>0</v>
      </c>
      <c r="AE100" s="7">
        <f>((AE97)+(AE98))+(AE99)</f>
        <v>416.65999999999997</v>
      </c>
      <c r="AF100" s="7">
        <f t="shared" si="89"/>
        <v>-416.65999999999997</v>
      </c>
      <c r="AG100" s="8">
        <f t="shared" si="90"/>
        <v>0</v>
      </c>
      <c r="AH100" s="7">
        <f>((AH97)+(AH98))+(AH99)</f>
        <v>0</v>
      </c>
      <c r="AI100" s="7">
        <f>((AI97)+(AI98))+(AI99)</f>
        <v>416.65999999999997</v>
      </c>
      <c r="AJ100" s="7">
        <f t="shared" si="91"/>
        <v>-416.65999999999997</v>
      </c>
      <c r="AK100" s="8">
        <f t="shared" si="92"/>
        <v>0</v>
      </c>
      <c r="AL100" s="7">
        <f>((AL97)+(AL98))+(AL99)</f>
        <v>0</v>
      </c>
      <c r="AM100" s="7">
        <f>((AM97)+(AM98))+(AM99)</f>
        <v>416.65999999999997</v>
      </c>
      <c r="AN100" s="7">
        <f t="shared" si="93"/>
        <v>-416.65999999999997</v>
      </c>
      <c r="AO100" s="7">
        <f>((AO97)+(AO98))+(AO99)</f>
        <v>0</v>
      </c>
      <c r="AP100" s="7">
        <f>((AP97)+(AP98))+(AP99)</f>
        <v>416.65999999999997</v>
      </c>
      <c r="AQ100" s="7">
        <f t="shared" si="94"/>
        <v>-416.65999999999997</v>
      </c>
      <c r="AR100" s="7">
        <f>((AR97)+(AR98))+(AR99)</f>
        <v>0</v>
      </c>
      <c r="AS100" s="7">
        <f>((AS97)+(AS98))+(AS99)</f>
        <v>416.74</v>
      </c>
      <c r="AT100" s="7">
        <f t="shared" si="95"/>
        <v>-416.74</v>
      </c>
      <c r="AU100" s="25">
        <f t="shared" si="73"/>
        <v>0</v>
      </c>
      <c r="AV100" s="16">
        <f t="shared" si="96"/>
        <v>0</v>
      </c>
      <c r="AW100" s="26">
        <f t="shared" si="74"/>
        <v>4999.9999999999991</v>
      </c>
      <c r="AX100" s="16">
        <f t="shared" si="97"/>
        <v>-4999.9999999999991</v>
      </c>
      <c r="AY100" s="25">
        <f>BB100</f>
        <v>4100</v>
      </c>
      <c r="AZ100" s="18">
        <f>AY100-AW100</f>
        <v>-899.99999999999909</v>
      </c>
      <c r="BA100" s="13"/>
      <c r="BB100" s="26">
        <f>SUM(BB98:BB99)</f>
        <v>4100</v>
      </c>
    </row>
    <row r="101" spans="1:54" x14ac:dyDescent="0.25">
      <c r="A101" s="3" t="s">
        <v>108</v>
      </c>
      <c r="B101" s="4"/>
      <c r="C101" s="4"/>
      <c r="D101" s="5">
        <f t="shared" si="75"/>
        <v>0</v>
      </c>
      <c r="E101" s="6" t="str">
        <f t="shared" si="76"/>
        <v/>
      </c>
      <c r="F101" s="4"/>
      <c r="G101" s="4"/>
      <c r="H101" s="5">
        <f t="shared" si="77"/>
        <v>0</v>
      </c>
      <c r="I101" s="6" t="str">
        <f t="shared" si="78"/>
        <v/>
      </c>
      <c r="J101" s="4"/>
      <c r="K101" s="4"/>
      <c r="L101" s="5">
        <f t="shared" si="79"/>
        <v>0</v>
      </c>
      <c r="M101" s="6" t="str">
        <f t="shared" si="80"/>
        <v/>
      </c>
      <c r="N101" s="4"/>
      <c r="O101" s="4"/>
      <c r="P101" s="5">
        <f t="shared" si="81"/>
        <v>0</v>
      </c>
      <c r="Q101" s="6" t="str">
        <f t="shared" si="82"/>
        <v/>
      </c>
      <c r="R101" s="4"/>
      <c r="S101" s="4"/>
      <c r="T101" s="5">
        <f t="shared" si="83"/>
        <v>0</v>
      </c>
      <c r="U101" s="6" t="str">
        <f t="shared" si="84"/>
        <v/>
      </c>
      <c r="V101" s="4"/>
      <c r="W101" s="4"/>
      <c r="X101" s="5">
        <f t="shared" si="85"/>
        <v>0</v>
      </c>
      <c r="Y101" s="6" t="str">
        <f t="shared" si="86"/>
        <v/>
      </c>
      <c r="Z101" s="4"/>
      <c r="AA101" s="4"/>
      <c r="AB101" s="5">
        <f t="shared" si="87"/>
        <v>0</v>
      </c>
      <c r="AC101" s="6" t="str">
        <f t="shared" si="88"/>
        <v/>
      </c>
      <c r="AD101" s="4"/>
      <c r="AE101" s="4"/>
      <c r="AF101" s="5">
        <f t="shared" si="89"/>
        <v>0</v>
      </c>
      <c r="AG101" s="6" t="str">
        <f t="shared" si="90"/>
        <v/>
      </c>
      <c r="AH101" s="4"/>
      <c r="AI101" s="4"/>
      <c r="AJ101" s="5">
        <f t="shared" si="91"/>
        <v>0</v>
      </c>
      <c r="AK101" s="6" t="str">
        <f t="shared" si="92"/>
        <v/>
      </c>
      <c r="AL101" s="4"/>
      <c r="AM101" s="4"/>
      <c r="AN101" s="5">
        <f t="shared" si="93"/>
        <v>0</v>
      </c>
      <c r="AO101" s="4"/>
      <c r="AP101" s="4"/>
      <c r="AQ101" s="5">
        <f t="shared" si="94"/>
        <v>0</v>
      </c>
      <c r="AR101" s="4"/>
      <c r="AS101" s="4"/>
      <c r="AT101" s="5">
        <f t="shared" si="95"/>
        <v>0</v>
      </c>
      <c r="AU101" s="23">
        <f t="shared" si="73"/>
        <v>0</v>
      </c>
      <c r="AV101" s="14">
        <f t="shared" si="96"/>
        <v>0</v>
      </c>
      <c r="AW101" s="24">
        <f t="shared" si="74"/>
        <v>0</v>
      </c>
      <c r="AX101" s="14">
        <f t="shared" si="97"/>
        <v>0</v>
      </c>
      <c r="AY101" s="23"/>
      <c r="AZ101" s="14"/>
      <c r="BA101" s="13"/>
      <c r="BB101" s="24"/>
    </row>
    <row r="102" spans="1:54" x14ac:dyDescent="0.25">
      <c r="A102" s="3" t="s">
        <v>109</v>
      </c>
      <c r="B102" s="4"/>
      <c r="C102" s="5">
        <f>1083.33</f>
        <v>1083.33</v>
      </c>
      <c r="D102" s="5">
        <f t="shared" si="75"/>
        <v>-1083.33</v>
      </c>
      <c r="E102" s="6">
        <f t="shared" si="76"/>
        <v>0</v>
      </c>
      <c r="F102" s="4"/>
      <c r="G102" s="5">
        <f>1083.33</f>
        <v>1083.33</v>
      </c>
      <c r="H102" s="5">
        <f t="shared" si="77"/>
        <v>-1083.33</v>
      </c>
      <c r="I102" s="6">
        <f t="shared" si="78"/>
        <v>0</v>
      </c>
      <c r="J102" s="5">
        <f>1334.78</f>
        <v>1334.78</v>
      </c>
      <c r="K102" s="5">
        <f>1083.33</f>
        <v>1083.33</v>
      </c>
      <c r="L102" s="5">
        <f t="shared" si="79"/>
        <v>251.45000000000005</v>
      </c>
      <c r="M102" s="6">
        <f t="shared" si="80"/>
        <v>1.2321084064874046</v>
      </c>
      <c r="N102" s="5">
        <f>2622.11</f>
        <v>2622.11</v>
      </c>
      <c r="O102" s="5">
        <f>1083.33</f>
        <v>1083.33</v>
      </c>
      <c r="P102" s="5">
        <f t="shared" si="81"/>
        <v>1538.7800000000002</v>
      </c>
      <c r="Q102" s="6">
        <f t="shared" si="82"/>
        <v>2.4204166782051639</v>
      </c>
      <c r="R102" s="5">
        <f>1489.1</f>
        <v>1489.1</v>
      </c>
      <c r="S102" s="5">
        <f>1083.33</f>
        <v>1083.33</v>
      </c>
      <c r="T102" s="5">
        <f t="shared" si="83"/>
        <v>405.77</v>
      </c>
      <c r="U102" s="6">
        <f t="shared" si="84"/>
        <v>1.3745580755633093</v>
      </c>
      <c r="V102" s="5">
        <f>4187.52</f>
        <v>4187.5200000000004</v>
      </c>
      <c r="W102" s="5">
        <f>1083.33</f>
        <v>1083.33</v>
      </c>
      <c r="X102" s="5">
        <f t="shared" si="85"/>
        <v>3104.1900000000005</v>
      </c>
      <c r="Y102" s="6">
        <f t="shared" si="86"/>
        <v>3.8654149705076022</v>
      </c>
      <c r="Z102" s="5">
        <f>944.18</f>
        <v>944.18</v>
      </c>
      <c r="AA102" s="5">
        <f>1083.33</f>
        <v>1083.33</v>
      </c>
      <c r="AB102" s="5">
        <f t="shared" si="87"/>
        <v>-139.14999999999998</v>
      </c>
      <c r="AC102" s="6">
        <f t="shared" si="88"/>
        <v>0.87155345093369518</v>
      </c>
      <c r="AD102" s="5">
        <f>0</f>
        <v>0</v>
      </c>
      <c r="AE102" s="5">
        <f>1083.33</f>
        <v>1083.33</v>
      </c>
      <c r="AF102" s="5">
        <f t="shared" si="89"/>
        <v>-1083.33</v>
      </c>
      <c r="AG102" s="6">
        <f t="shared" si="90"/>
        <v>0</v>
      </c>
      <c r="AH102" s="5">
        <f>527.38</f>
        <v>527.38</v>
      </c>
      <c r="AI102" s="5">
        <f>1083.33</f>
        <v>1083.33</v>
      </c>
      <c r="AJ102" s="5">
        <f t="shared" si="91"/>
        <v>-555.94999999999993</v>
      </c>
      <c r="AK102" s="6">
        <f t="shared" si="92"/>
        <v>0.48681380558094028</v>
      </c>
      <c r="AL102" s="5">
        <f>0</f>
        <v>0</v>
      </c>
      <c r="AM102" s="5">
        <f>1083.33</f>
        <v>1083.33</v>
      </c>
      <c r="AN102" s="5">
        <f t="shared" si="93"/>
        <v>-1083.33</v>
      </c>
      <c r="AO102" s="4"/>
      <c r="AP102" s="5">
        <f>1083.33</f>
        <v>1083.33</v>
      </c>
      <c r="AQ102" s="5">
        <f t="shared" si="94"/>
        <v>-1083.33</v>
      </c>
      <c r="AR102" s="4"/>
      <c r="AS102" s="5">
        <f>1083.37</f>
        <v>1083.3699999999999</v>
      </c>
      <c r="AT102" s="5">
        <f t="shared" si="95"/>
        <v>-1083.3699999999999</v>
      </c>
      <c r="AU102" s="23">
        <f t="shared" ref="AU102:AU118" si="98">(((((((((((B102)+(F102))+(J102))+(N102))+(R102))+(V102))+(Z102))+(AD102))+(AH102))+(AL102))+(AO102))+(AR102)</f>
        <v>11105.07</v>
      </c>
      <c r="AV102" s="14">
        <f t="shared" si="96"/>
        <v>13326.084000000001</v>
      </c>
      <c r="AW102" s="24">
        <f t="shared" ref="AW102:AW118" si="99">(((((((((((C102)+(G102))+(K102))+(O102))+(S102))+(W102))+(AA102))+(AE102))+(AI102))+(AM102))+(AP102))+(AS102)</f>
        <v>13000</v>
      </c>
      <c r="AX102" s="14">
        <f t="shared" si="97"/>
        <v>-1894.9300000000003</v>
      </c>
      <c r="AY102" s="23"/>
      <c r="AZ102" s="14"/>
      <c r="BA102" s="43" t="s">
        <v>176</v>
      </c>
      <c r="BB102" s="24">
        <v>20000</v>
      </c>
    </row>
    <row r="103" spans="1:54" x14ac:dyDescent="0.25">
      <c r="A103" s="3" t="s">
        <v>110</v>
      </c>
      <c r="B103" s="4"/>
      <c r="C103" s="5">
        <f>583.33</f>
        <v>583.33000000000004</v>
      </c>
      <c r="D103" s="5">
        <f t="shared" si="75"/>
        <v>-583.33000000000004</v>
      </c>
      <c r="E103" s="6">
        <f t="shared" si="76"/>
        <v>0</v>
      </c>
      <c r="F103" s="4"/>
      <c r="G103" s="5">
        <f>583.33</f>
        <v>583.33000000000004</v>
      </c>
      <c r="H103" s="5">
        <f t="shared" si="77"/>
        <v>-583.33000000000004</v>
      </c>
      <c r="I103" s="6">
        <f t="shared" si="78"/>
        <v>0</v>
      </c>
      <c r="J103" s="5">
        <f>718.72</f>
        <v>718.72</v>
      </c>
      <c r="K103" s="5">
        <f>583.33</f>
        <v>583.33000000000004</v>
      </c>
      <c r="L103" s="5">
        <f t="shared" si="79"/>
        <v>135.38999999999999</v>
      </c>
      <c r="M103" s="6">
        <f t="shared" si="80"/>
        <v>1.2320984691341093</v>
      </c>
      <c r="N103" s="5">
        <f>1411.91</f>
        <v>1411.91</v>
      </c>
      <c r="O103" s="5">
        <f>583.33</f>
        <v>583.33000000000004</v>
      </c>
      <c r="P103" s="5">
        <f t="shared" si="81"/>
        <v>828.58</v>
      </c>
      <c r="Q103" s="6">
        <f t="shared" si="82"/>
        <v>2.4204309738912793</v>
      </c>
      <c r="R103" s="5">
        <f>801.82</f>
        <v>801.82</v>
      </c>
      <c r="S103" s="5">
        <f>583.33</f>
        <v>583.33000000000004</v>
      </c>
      <c r="T103" s="5">
        <f t="shared" si="83"/>
        <v>218.49</v>
      </c>
      <c r="U103" s="6">
        <f t="shared" si="84"/>
        <v>1.3745564260367202</v>
      </c>
      <c r="V103" s="5">
        <f>2254.82</f>
        <v>2254.8200000000002</v>
      </c>
      <c r="W103" s="5">
        <f>583.33</f>
        <v>583.33000000000004</v>
      </c>
      <c r="X103" s="5">
        <f t="shared" si="85"/>
        <v>1671.4900000000002</v>
      </c>
      <c r="Y103" s="6">
        <f t="shared" si="86"/>
        <v>3.8654278024445854</v>
      </c>
      <c r="Z103" s="5">
        <f>508.41</f>
        <v>508.41</v>
      </c>
      <c r="AA103" s="5">
        <f>583.33</f>
        <v>583.33000000000004</v>
      </c>
      <c r="AB103" s="5">
        <f t="shared" si="87"/>
        <v>-74.920000000000016</v>
      </c>
      <c r="AC103" s="6">
        <f t="shared" si="88"/>
        <v>0.87156498037131636</v>
      </c>
      <c r="AD103" s="5">
        <f>0</f>
        <v>0</v>
      </c>
      <c r="AE103" s="5">
        <f>583.33</f>
        <v>583.33000000000004</v>
      </c>
      <c r="AF103" s="5">
        <f t="shared" si="89"/>
        <v>-583.33000000000004</v>
      </c>
      <c r="AG103" s="6">
        <f t="shared" si="90"/>
        <v>0</v>
      </c>
      <c r="AH103" s="5">
        <f>283.98</f>
        <v>283.98</v>
      </c>
      <c r="AI103" s="5">
        <f>583.33</f>
        <v>583.33000000000004</v>
      </c>
      <c r="AJ103" s="5">
        <f t="shared" si="91"/>
        <v>-299.35000000000002</v>
      </c>
      <c r="AK103" s="6">
        <f t="shared" si="92"/>
        <v>0.48682563900365144</v>
      </c>
      <c r="AL103" s="5">
        <f>0</f>
        <v>0</v>
      </c>
      <c r="AM103" s="5">
        <f>583.33</f>
        <v>583.33000000000004</v>
      </c>
      <c r="AN103" s="5">
        <f t="shared" si="93"/>
        <v>-583.33000000000004</v>
      </c>
      <c r="AO103" s="4"/>
      <c r="AP103" s="5">
        <f>583.33</f>
        <v>583.33000000000004</v>
      </c>
      <c r="AQ103" s="5">
        <f t="shared" si="94"/>
        <v>-583.33000000000004</v>
      </c>
      <c r="AR103" s="4"/>
      <c r="AS103" s="5">
        <f>583.37</f>
        <v>583.37</v>
      </c>
      <c r="AT103" s="5">
        <f t="shared" si="95"/>
        <v>-583.37</v>
      </c>
      <c r="AU103" s="23">
        <f t="shared" si="98"/>
        <v>5979.66</v>
      </c>
      <c r="AV103" s="14">
        <f t="shared" si="96"/>
        <v>7175.5920000000006</v>
      </c>
      <c r="AW103" s="24">
        <f t="shared" si="99"/>
        <v>7000</v>
      </c>
      <c r="AX103" s="14">
        <f t="shared" si="97"/>
        <v>-1020.3400000000001</v>
      </c>
      <c r="AY103" s="23"/>
      <c r="AZ103" s="14"/>
      <c r="BA103" s="13"/>
      <c r="BB103" s="24"/>
    </row>
    <row r="104" spans="1:54" x14ac:dyDescent="0.25">
      <c r="A104" s="3" t="s">
        <v>111</v>
      </c>
      <c r="B104" s="4"/>
      <c r="C104" s="4"/>
      <c r="D104" s="5">
        <f t="shared" si="75"/>
        <v>0</v>
      </c>
      <c r="E104" s="6" t="str">
        <f t="shared" si="76"/>
        <v/>
      </c>
      <c r="F104" s="4"/>
      <c r="G104" s="4"/>
      <c r="H104" s="5">
        <f t="shared" si="77"/>
        <v>0</v>
      </c>
      <c r="I104" s="6" t="str">
        <f t="shared" si="78"/>
        <v/>
      </c>
      <c r="J104" s="5">
        <f>0</f>
        <v>0</v>
      </c>
      <c r="K104" s="4"/>
      <c r="L104" s="5">
        <f t="shared" si="79"/>
        <v>0</v>
      </c>
      <c r="M104" s="6" t="str">
        <f t="shared" si="80"/>
        <v/>
      </c>
      <c r="N104" s="5">
        <f>0</f>
        <v>0</v>
      </c>
      <c r="O104" s="4"/>
      <c r="P104" s="5">
        <f t="shared" si="81"/>
        <v>0</v>
      </c>
      <c r="Q104" s="6" t="str">
        <f t="shared" si="82"/>
        <v/>
      </c>
      <c r="R104" s="5">
        <f>0</f>
        <v>0</v>
      </c>
      <c r="S104" s="4"/>
      <c r="T104" s="5">
        <f t="shared" si="83"/>
        <v>0</v>
      </c>
      <c r="U104" s="6" t="str">
        <f t="shared" si="84"/>
        <v/>
      </c>
      <c r="V104" s="5">
        <f>-0.02</f>
        <v>-0.02</v>
      </c>
      <c r="W104" s="4"/>
      <c r="X104" s="5">
        <f t="shared" si="85"/>
        <v>-0.02</v>
      </c>
      <c r="Y104" s="6" t="str">
        <f t="shared" si="86"/>
        <v/>
      </c>
      <c r="Z104" s="5">
        <f>0</f>
        <v>0</v>
      </c>
      <c r="AA104" s="4"/>
      <c r="AB104" s="5">
        <f t="shared" si="87"/>
        <v>0</v>
      </c>
      <c r="AC104" s="6" t="str">
        <f t="shared" si="88"/>
        <v/>
      </c>
      <c r="AD104" s="5">
        <f>0</f>
        <v>0</v>
      </c>
      <c r="AE104" s="4"/>
      <c r="AF104" s="5">
        <f t="shared" si="89"/>
        <v>0</v>
      </c>
      <c r="AG104" s="6" t="str">
        <f t="shared" si="90"/>
        <v/>
      </c>
      <c r="AH104" s="5">
        <f>0</f>
        <v>0</v>
      </c>
      <c r="AI104" s="4"/>
      <c r="AJ104" s="5">
        <f t="shared" si="91"/>
        <v>0</v>
      </c>
      <c r="AK104" s="6" t="str">
        <f t="shared" si="92"/>
        <v/>
      </c>
      <c r="AL104" s="5">
        <f>0</f>
        <v>0</v>
      </c>
      <c r="AM104" s="4"/>
      <c r="AN104" s="5">
        <f t="shared" si="93"/>
        <v>0</v>
      </c>
      <c r="AO104" s="5">
        <v>0</v>
      </c>
      <c r="AP104" s="4"/>
      <c r="AQ104" s="5">
        <f t="shared" si="94"/>
        <v>0</v>
      </c>
      <c r="AR104" s="4"/>
      <c r="AS104" s="4"/>
      <c r="AT104" s="5">
        <f t="shared" si="95"/>
        <v>0</v>
      </c>
      <c r="AU104" s="23">
        <f t="shared" si="98"/>
        <v>-0.02</v>
      </c>
      <c r="AV104" s="14">
        <f t="shared" si="96"/>
        <v>-2.4E-2</v>
      </c>
      <c r="AW104" s="24">
        <f t="shared" si="99"/>
        <v>0</v>
      </c>
      <c r="AX104" s="14">
        <f t="shared" si="97"/>
        <v>-0.02</v>
      </c>
      <c r="AY104" s="23"/>
      <c r="AZ104" s="14"/>
      <c r="BA104" s="13"/>
      <c r="BB104" s="24"/>
    </row>
    <row r="105" spans="1:54" x14ac:dyDescent="0.25">
      <c r="A105" s="3" t="s">
        <v>112</v>
      </c>
      <c r="B105" s="7">
        <f>(((B101)+(B102))+(B103))+(B104)</f>
        <v>0</v>
      </c>
      <c r="C105" s="7">
        <f>(((C101)+(C102))+(C103))+(C104)</f>
        <v>1666.6599999999999</v>
      </c>
      <c r="D105" s="7">
        <f t="shared" si="75"/>
        <v>-1666.6599999999999</v>
      </c>
      <c r="E105" s="8">
        <f t="shared" si="76"/>
        <v>0</v>
      </c>
      <c r="F105" s="7">
        <f>(((F101)+(F102))+(F103))+(F104)</f>
        <v>0</v>
      </c>
      <c r="G105" s="7">
        <f>(((G101)+(G102))+(G103))+(G104)</f>
        <v>1666.6599999999999</v>
      </c>
      <c r="H105" s="7">
        <f t="shared" si="77"/>
        <v>-1666.6599999999999</v>
      </c>
      <c r="I105" s="8">
        <f t="shared" si="78"/>
        <v>0</v>
      </c>
      <c r="J105" s="7">
        <f>(((J101)+(J102))+(J103))+(J104)</f>
        <v>2053.5</v>
      </c>
      <c r="K105" s="7">
        <f>(((K101)+(K102))+(K103))+(K104)</f>
        <v>1666.6599999999999</v>
      </c>
      <c r="L105" s="7">
        <f t="shared" si="79"/>
        <v>386.84000000000015</v>
      </c>
      <c r="M105" s="8">
        <f t="shared" si="80"/>
        <v>1.2321049284197139</v>
      </c>
      <c r="N105" s="7">
        <f>(((N101)+(N102))+(N103))+(N104)</f>
        <v>4034.0200000000004</v>
      </c>
      <c r="O105" s="7">
        <f>(((O101)+(O102))+(O103))+(O104)</f>
        <v>1666.6599999999999</v>
      </c>
      <c r="P105" s="7">
        <f t="shared" si="81"/>
        <v>2367.3600000000006</v>
      </c>
      <c r="Q105" s="8">
        <f t="shared" si="82"/>
        <v>2.4204216816867272</v>
      </c>
      <c r="R105" s="7">
        <f>(((R101)+(R102))+(R103))+(R104)</f>
        <v>2290.92</v>
      </c>
      <c r="S105" s="7">
        <f>(((S101)+(S102))+(S103))+(S104)</f>
        <v>1666.6599999999999</v>
      </c>
      <c r="T105" s="7">
        <f t="shared" si="83"/>
        <v>624.26000000000022</v>
      </c>
      <c r="U105" s="8">
        <f t="shared" si="84"/>
        <v>1.3745574982299931</v>
      </c>
      <c r="V105" s="7">
        <f>(((V101)+(V102))+(V103))+(V104)</f>
        <v>6442.32</v>
      </c>
      <c r="W105" s="7">
        <f>(((W101)+(W102))+(W103))+(W104)</f>
        <v>1666.6599999999999</v>
      </c>
      <c r="X105" s="7">
        <f t="shared" si="85"/>
        <v>4775.66</v>
      </c>
      <c r="Y105" s="8">
        <f t="shared" si="86"/>
        <v>3.8654074616298466</v>
      </c>
      <c r="Z105" s="7">
        <f>(((Z101)+(Z102))+(Z103))+(Z104)</f>
        <v>1452.59</v>
      </c>
      <c r="AA105" s="7">
        <f>(((AA101)+(AA102))+(AA103))+(AA104)</f>
        <v>1666.6599999999999</v>
      </c>
      <c r="AB105" s="7">
        <f t="shared" si="87"/>
        <v>-214.06999999999994</v>
      </c>
      <c r="AC105" s="8">
        <f t="shared" si="88"/>
        <v>0.871557486229945</v>
      </c>
      <c r="AD105" s="7">
        <f>(((AD101)+(AD102))+(AD103))+(AD104)</f>
        <v>0</v>
      </c>
      <c r="AE105" s="7">
        <f>(((AE101)+(AE102))+(AE103))+(AE104)</f>
        <v>1666.6599999999999</v>
      </c>
      <c r="AF105" s="7">
        <f t="shared" si="89"/>
        <v>-1666.6599999999999</v>
      </c>
      <c r="AG105" s="8">
        <f t="shared" si="90"/>
        <v>0</v>
      </c>
      <c r="AH105" s="7">
        <f>(((AH101)+(AH102))+(AH103))+(AH104)</f>
        <v>811.36</v>
      </c>
      <c r="AI105" s="7">
        <f>(((AI101)+(AI102))+(AI103))+(AI104)</f>
        <v>1666.6599999999999</v>
      </c>
      <c r="AJ105" s="7">
        <f t="shared" si="91"/>
        <v>-855.29999999999984</v>
      </c>
      <c r="AK105" s="8">
        <f t="shared" si="92"/>
        <v>0.48681794727178912</v>
      </c>
      <c r="AL105" s="7">
        <f>(((AL101)+(AL102))+(AL103))+(AL104)</f>
        <v>0</v>
      </c>
      <c r="AM105" s="7">
        <f>(((AM101)+(AM102))+(AM103))+(AM104)</f>
        <v>1666.6599999999999</v>
      </c>
      <c r="AN105" s="7">
        <f t="shared" si="93"/>
        <v>-1666.6599999999999</v>
      </c>
      <c r="AO105" s="7">
        <f>(((AO101)+(AO102))+(AO103))+(AO104)</f>
        <v>0</v>
      </c>
      <c r="AP105" s="7">
        <f>(((AP101)+(AP102))+(AP103))+(AP104)</f>
        <v>1666.6599999999999</v>
      </c>
      <c r="AQ105" s="7">
        <f t="shared" si="94"/>
        <v>-1666.6599999999999</v>
      </c>
      <c r="AR105" s="7">
        <f>(((AR101)+(AR102))+(AR103))+(AR104)</f>
        <v>0</v>
      </c>
      <c r="AS105" s="7">
        <f>(((AS101)+(AS102))+(AS103))+(AS104)</f>
        <v>1666.7399999999998</v>
      </c>
      <c r="AT105" s="7">
        <f t="shared" si="95"/>
        <v>-1666.7399999999998</v>
      </c>
      <c r="AU105" s="25">
        <f t="shared" si="98"/>
        <v>17084.71</v>
      </c>
      <c r="AV105" s="16">
        <f t="shared" si="96"/>
        <v>20501.652000000002</v>
      </c>
      <c r="AW105" s="26">
        <f t="shared" si="99"/>
        <v>20000</v>
      </c>
      <c r="AX105" s="16">
        <f t="shared" si="97"/>
        <v>-2915.2900000000009</v>
      </c>
      <c r="AY105" s="25">
        <f>BB105</f>
        <v>20000</v>
      </c>
      <c r="AZ105" s="18">
        <f>AY105-AW105</f>
        <v>0</v>
      </c>
      <c r="BA105" s="13"/>
      <c r="BB105" s="26">
        <f>SUM(BB102:BB104)</f>
        <v>20000</v>
      </c>
    </row>
    <row r="106" spans="1:54" x14ac:dyDescent="0.25">
      <c r="A106" s="3" t="s">
        <v>113</v>
      </c>
      <c r="B106" s="4"/>
      <c r="C106" s="4"/>
      <c r="D106" s="5">
        <f t="shared" si="75"/>
        <v>0</v>
      </c>
      <c r="E106" s="6" t="str">
        <f t="shared" si="76"/>
        <v/>
      </c>
      <c r="F106" s="4"/>
      <c r="G106" s="4"/>
      <c r="H106" s="5">
        <f t="shared" si="77"/>
        <v>0</v>
      </c>
      <c r="I106" s="6" t="str">
        <f t="shared" si="78"/>
        <v/>
      </c>
      <c r="J106" s="4"/>
      <c r="K106" s="4"/>
      <c r="L106" s="5">
        <f t="shared" si="79"/>
        <v>0</v>
      </c>
      <c r="M106" s="6" t="str">
        <f t="shared" si="80"/>
        <v/>
      </c>
      <c r="N106" s="4"/>
      <c r="O106" s="4"/>
      <c r="P106" s="5">
        <f t="shared" si="81"/>
        <v>0</v>
      </c>
      <c r="Q106" s="6" t="str">
        <f t="shared" si="82"/>
        <v/>
      </c>
      <c r="R106" s="4"/>
      <c r="S106" s="4"/>
      <c r="T106" s="5">
        <f t="shared" si="83"/>
        <v>0</v>
      </c>
      <c r="U106" s="6" t="str">
        <f t="shared" si="84"/>
        <v/>
      </c>
      <c r="V106" s="4"/>
      <c r="W106" s="4"/>
      <c r="X106" s="5">
        <f t="shared" si="85"/>
        <v>0</v>
      </c>
      <c r="Y106" s="6" t="str">
        <f t="shared" si="86"/>
        <v/>
      </c>
      <c r="Z106" s="4"/>
      <c r="AA106" s="4"/>
      <c r="AB106" s="5">
        <f t="shared" si="87"/>
        <v>0</v>
      </c>
      <c r="AC106" s="6" t="str">
        <f t="shared" si="88"/>
        <v/>
      </c>
      <c r="AD106" s="4"/>
      <c r="AE106" s="4"/>
      <c r="AF106" s="5">
        <f t="shared" si="89"/>
        <v>0</v>
      </c>
      <c r="AG106" s="6" t="str">
        <f t="shared" si="90"/>
        <v/>
      </c>
      <c r="AH106" s="4"/>
      <c r="AI106" s="4"/>
      <c r="AJ106" s="5">
        <f t="shared" si="91"/>
        <v>0</v>
      </c>
      <c r="AK106" s="6" t="str">
        <f t="shared" si="92"/>
        <v/>
      </c>
      <c r="AL106" s="4"/>
      <c r="AM106" s="4"/>
      <c r="AN106" s="5">
        <f t="shared" si="93"/>
        <v>0</v>
      </c>
      <c r="AO106" s="4"/>
      <c r="AP106" s="4"/>
      <c r="AQ106" s="5">
        <f t="shared" si="94"/>
        <v>0</v>
      </c>
      <c r="AR106" s="4"/>
      <c r="AS106" s="4"/>
      <c r="AT106" s="5">
        <f t="shared" si="95"/>
        <v>0</v>
      </c>
      <c r="AU106" s="23">
        <f t="shared" si="98"/>
        <v>0</v>
      </c>
      <c r="AV106" s="14">
        <f t="shared" si="96"/>
        <v>0</v>
      </c>
      <c r="AW106" s="24">
        <f t="shared" si="99"/>
        <v>0</v>
      </c>
      <c r="AX106" s="14">
        <f t="shared" si="97"/>
        <v>0</v>
      </c>
      <c r="AY106" s="23"/>
      <c r="AZ106" s="14"/>
      <c r="BA106" s="13"/>
      <c r="BB106" s="24"/>
    </row>
    <row r="107" spans="1:54" x14ac:dyDescent="0.25">
      <c r="A107" s="3" t="s">
        <v>114</v>
      </c>
      <c r="B107" s="4"/>
      <c r="C107" s="5">
        <f>866.67</f>
        <v>866.67</v>
      </c>
      <c r="D107" s="5">
        <f t="shared" si="75"/>
        <v>-866.67</v>
      </c>
      <c r="E107" s="6">
        <f t="shared" si="76"/>
        <v>0</v>
      </c>
      <c r="F107" s="4"/>
      <c r="G107" s="5">
        <f>866.67</f>
        <v>866.67</v>
      </c>
      <c r="H107" s="5">
        <f t="shared" si="77"/>
        <v>-866.67</v>
      </c>
      <c r="I107" s="6">
        <f t="shared" si="78"/>
        <v>0</v>
      </c>
      <c r="J107" s="4"/>
      <c r="K107" s="5">
        <f>866.67</f>
        <v>866.67</v>
      </c>
      <c r="L107" s="5">
        <f t="shared" si="79"/>
        <v>-866.67</v>
      </c>
      <c r="M107" s="6">
        <f t="shared" si="80"/>
        <v>0</v>
      </c>
      <c r="N107" s="5">
        <f>1920.91</f>
        <v>1920.91</v>
      </c>
      <c r="O107" s="5">
        <f>866.67</f>
        <v>866.67</v>
      </c>
      <c r="P107" s="5">
        <f t="shared" si="81"/>
        <v>1054.2400000000002</v>
      </c>
      <c r="Q107" s="6">
        <f t="shared" si="82"/>
        <v>2.2164260906688824</v>
      </c>
      <c r="R107" s="5">
        <f>80.2</f>
        <v>80.2</v>
      </c>
      <c r="S107" s="5">
        <f>866.67</f>
        <v>866.67</v>
      </c>
      <c r="T107" s="5">
        <f t="shared" si="83"/>
        <v>-786.46999999999991</v>
      </c>
      <c r="U107" s="6">
        <f t="shared" si="84"/>
        <v>9.2538105622670688E-2</v>
      </c>
      <c r="V107" s="5">
        <f>1249.41</f>
        <v>1249.4100000000001</v>
      </c>
      <c r="W107" s="5">
        <f>866.67</f>
        <v>866.67</v>
      </c>
      <c r="X107" s="5">
        <f t="shared" si="85"/>
        <v>382.74000000000012</v>
      </c>
      <c r="Y107" s="6">
        <f t="shared" si="86"/>
        <v>1.4416213783793141</v>
      </c>
      <c r="Z107" s="5">
        <f>476.53</f>
        <v>476.53</v>
      </c>
      <c r="AA107" s="5">
        <f>866.67</f>
        <v>866.67</v>
      </c>
      <c r="AB107" s="5">
        <f t="shared" si="87"/>
        <v>-390.14</v>
      </c>
      <c r="AC107" s="6">
        <f t="shared" si="88"/>
        <v>0.54984019292233488</v>
      </c>
      <c r="AD107" s="5">
        <f>2053.52</f>
        <v>2053.52</v>
      </c>
      <c r="AE107" s="5">
        <f>866.67</f>
        <v>866.67</v>
      </c>
      <c r="AF107" s="5">
        <f t="shared" si="89"/>
        <v>1186.8499999999999</v>
      </c>
      <c r="AG107" s="6">
        <f t="shared" si="90"/>
        <v>2.3694370406267669</v>
      </c>
      <c r="AH107" s="5">
        <f>2748.81</f>
        <v>2748.81</v>
      </c>
      <c r="AI107" s="5">
        <f>866.67</f>
        <v>866.67</v>
      </c>
      <c r="AJ107" s="5">
        <f t="shared" si="91"/>
        <v>1882.1399999999999</v>
      </c>
      <c r="AK107" s="6">
        <f t="shared" si="92"/>
        <v>3.1716916473398182</v>
      </c>
      <c r="AL107" s="5">
        <f>367.32</f>
        <v>367.32</v>
      </c>
      <c r="AM107" s="5">
        <f>866.67</f>
        <v>866.67</v>
      </c>
      <c r="AN107" s="5">
        <f t="shared" si="93"/>
        <v>-499.34999999999997</v>
      </c>
      <c r="AO107" s="4"/>
      <c r="AP107" s="5">
        <f>866.67</f>
        <v>866.67</v>
      </c>
      <c r="AQ107" s="5">
        <f t="shared" si="94"/>
        <v>-866.67</v>
      </c>
      <c r="AR107" s="4"/>
      <c r="AS107" s="5">
        <f>866.63</f>
        <v>866.63</v>
      </c>
      <c r="AT107" s="5">
        <f t="shared" si="95"/>
        <v>-866.63</v>
      </c>
      <c r="AU107" s="23">
        <f t="shared" si="98"/>
        <v>8896.6999999999989</v>
      </c>
      <c r="AV107" s="14">
        <f t="shared" si="96"/>
        <v>10676.039999999997</v>
      </c>
      <c r="AW107" s="24">
        <f t="shared" si="99"/>
        <v>10399.999999999998</v>
      </c>
      <c r="AX107" s="14">
        <f t="shared" si="97"/>
        <v>-1503.2999999999993</v>
      </c>
      <c r="AY107" s="23"/>
      <c r="AZ107" s="14"/>
      <c r="BA107" s="13" t="s">
        <v>178</v>
      </c>
      <c r="BB107" s="24">
        <v>16000</v>
      </c>
    </row>
    <row r="108" spans="1:54" x14ac:dyDescent="0.25">
      <c r="A108" s="3" t="s">
        <v>115</v>
      </c>
      <c r="B108" s="4"/>
      <c r="C108" s="5">
        <f>466.67</f>
        <v>466.67</v>
      </c>
      <c r="D108" s="5">
        <f t="shared" si="75"/>
        <v>-466.67</v>
      </c>
      <c r="E108" s="6">
        <f t="shared" si="76"/>
        <v>0</v>
      </c>
      <c r="F108" s="4"/>
      <c r="G108" s="5">
        <f>466.67</f>
        <v>466.67</v>
      </c>
      <c r="H108" s="5">
        <f t="shared" si="77"/>
        <v>-466.67</v>
      </c>
      <c r="I108" s="6">
        <f t="shared" si="78"/>
        <v>0</v>
      </c>
      <c r="J108" s="4"/>
      <c r="K108" s="5">
        <f>466.67</f>
        <v>466.67</v>
      </c>
      <c r="L108" s="5">
        <f t="shared" si="79"/>
        <v>-466.67</v>
      </c>
      <c r="M108" s="6">
        <f t="shared" si="80"/>
        <v>0</v>
      </c>
      <c r="N108" s="5">
        <f>1034.34</f>
        <v>1034.3399999999999</v>
      </c>
      <c r="O108" s="5">
        <f>466.67</f>
        <v>466.67</v>
      </c>
      <c r="P108" s="5">
        <f t="shared" si="81"/>
        <v>567.66999999999985</v>
      </c>
      <c r="Q108" s="6">
        <f t="shared" si="82"/>
        <v>2.2164270255212459</v>
      </c>
      <c r="R108" s="5">
        <f>43.18</f>
        <v>43.18</v>
      </c>
      <c r="S108" s="5">
        <f>466.67</f>
        <v>466.67</v>
      </c>
      <c r="T108" s="5">
        <f t="shared" si="83"/>
        <v>-423.49</v>
      </c>
      <c r="U108" s="6">
        <f t="shared" si="84"/>
        <v>9.2527910514924885E-2</v>
      </c>
      <c r="V108" s="5">
        <f>672.76</f>
        <v>672.76</v>
      </c>
      <c r="W108" s="5">
        <f>466.67</f>
        <v>466.67</v>
      </c>
      <c r="X108" s="5">
        <f t="shared" si="85"/>
        <v>206.08999999999997</v>
      </c>
      <c r="Y108" s="6">
        <f t="shared" si="86"/>
        <v>1.4416182741551846</v>
      </c>
      <c r="Z108" s="5">
        <f>256.59</f>
        <v>256.58999999999997</v>
      </c>
      <c r="AA108" s="5">
        <f>466.67</f>
        <v>466.67</v>
      </c>
      <c r="AB108" s="5">
        <f t="shared" si="87"/>
        <v>-210.08000000000004</v>
      </c>
      <c r="AC108" s="6">
        <f t="shared" si="88"/>
        <v>0.5498317869158077</v>
      </c>
      <c r="AD108" s="5">
        <f>1105.74</f>
        <v>1105.74</v>
      </c>
      <c r="AE108" s="5">
        <f>466.67</f>
        <v>466.67</v>
      </c>
      <c r="AF108" s="5">
        <f t="shared" si="89"/>
        <v>639.06999999999994</v>
      </c>
      <c r="AG108" s="6">
        <f t="shared" si="90"/>
        <v>2.3694259326719096</v>
      </c>
      <c r="AH108" s="5">
        <f>1480.13</f>
        <v>1480.13</v>
      </c>
      <c r="AI108" s="5">
        <f>466.67</f>
        <v>466.67</v>
      </c>
      <c r="AJ108" s="5">
        <f t="shared" si="91"/>
        <v>1013.46</v>
      </c>
      <c r="AK108" s="6">
        <f t="shared" si="92"/>
        <v>3.1716844879679433</v>
      </c>
      <c r="AL108" s="5">
        <f>197.79</f>
        <v>197.79</v>
      </c>
      <c r="AM108" s="5">
        <f>466.67</f>
        <v>466.67</v>
      </c>
      <c r="AN108" s="5">
        <f t="shared" si="93"/>
        <v>-268.88</v>
      </c>
      <c r="AO108" s="4"/>
      <c r="AP108" s="5">
        <f>466.67</f>
        <v>466.67</v>
      </c>
      <c r="AQ108" s="5">
        <f t="shared" si="94"/>
        <v>-466.67</v>
      </c>
      <c r="AR108" s="4"/>
      <c r="AS108" s="5">
        <f>466.63</f>
        <v>466.63</v>
      </c>
      <c r="AT108" s="5">
        <f t="shared" si="95"/>
        <v>-466.63</v>
      </c>
      <c r="AU108" s="23">
        <f t="shared" si="98"/>
        <v>4790.53</v>
      </c>
      <c r="AV108" s="14">
        <f t="shared" si="96"/>
        <v>5748.6360000000004</v>
      </c>
      <c r="AW108" s="24">
        <f t="shared" si="99"/>
        <v>5600</v>
      </c>
      <c r="AX108" s="14">
        <f t="shared" si="97"/>
        <v>-809.47000000000025</v>
      </c>
      <c r="AY108" s="23"/>
      <c r="AZ108" s="14"/>
      <c r="BA108" s="13" t="s">
        <v>177</v>
      </c>
      <c r="BB108" s="24">
        <v>2000</v>
      </c>
    </row>
    <row r="109" spans="1:54" ht="23.25" x14ac:dyDescent="0.25">
      <c r="A109" s="3" t="s">
        <v>116</v>
      </c>
      <c r="B109" s="4"/>
      <c r="C109" s="4"/>
      <c r="D109" s="5">
        <f t="shared" si="75"/>
        <v>0</v>
      </c>
      <c r="E109" s="6" t="str">
        <f t="shared" si="76"/>
        <v/>
      </c>
      <c r="F109" s="4"/>
      <c r="G109" s="4"/>
      <c r="H109" s="5">
        <f t="shared" si="77"/>
        <v>0</v>
      </c>
      <c r="I109" s="6" t="str">
        <f t="shared" si="78"/>
        <v/>
      </c>
      <c r="J109" s="4"/>
      <c r="K109" s="4"/>
      <c r="L109" s="5">
        <f t="shared" si="79"/>
        <v>0</v>
      </c>
      <c r="M109" s="6" t="str">
        <f t="shared" si="80"/>
        <v/>
      </c>
      <c r="N109" s="5">
        <f>0</f>
        <v>0</v>
      </c>
      <c r="O109" s="4"/>
      <c r="P109" s="5">
        <f t="shared" si="81"/>
        <v>0</v>
      </c>
      <c r="Q109" s="6" t="str">
        <f t="shared" si="82"/>
        <v/>
      </c>
      <c r="R109" s="5">
        <f>0</f>
        <v>0</v>
      </c>
      <c r="S109" s="4"/>
      <c r="T109" s="5">
        <f t="shared" si="83"/>
        <v>0</v>
      </c>
      <c r="U109" s="6" t="str">
        <f t="shared" si="84"/>
        <v/>
      </c>
      <c r="V109" s="5">
        <f>0</f>
        <v>0</v>
      </c>
      <c r="W109" s="4"/>
      <c r="X109" s="5">
        <f t="shared" si="85"/>
        <v>0</v>
      </c>
      <c r="Y109" s="6" t="str">
        <f t="shared" si="86"/>
        <v/>
      </c>
      <c r="Z109" s="5">
        <f>0</f>
        <v>0</v>
      </c>
      <c r="AA109" s="4"/>
      <c r="AB109" s="5">
        <f t="shared" si="87"/>
        <v>0</v>
      </c>
      <c r="AC109" s="6" t="str">
        <f t="shared" si="88"/>
        <v/>
      </c>
      <c r="AD109" s="5">
        <f>0</f>
        <v>0</v>
      </c>
      <c r="AE109" s="4"/>
      <c r="AF109" s="5">
        <f t="shared" si="89"/>
        <v>0</v>
      </c>
      <c r="AG109" s="6" t="str">
        <f t="shared" si="90"/>
        <v/>
      </c>
      <c r="AH109" s="5">
        <f>0</f>
        <v>0</v>
      </c>
      <c r="AI109" s="4"/>
      <c r="AJ109" s="5">
        <f t="shared" si="91"/>
        <v>0</v>
      </c>
      <c r="AK109" s="6" t="str">
        <f t="shared" si="92"/>
        <v/>
      </c>
      <c r="AL109" s="5">
        <f>0</f>
        <v>0</v>
      </c>
      <c r="AM109" s="4"/>
      <c r="AN109" s="5">
        <f t="shared" si="93"/>
        <v>0</v>
      </c>
      <c r="AO109" s="4"/>
      <c r="AP109" s="4"/>
      <c r="AQ109" s="5">
        <f t="shared" si="94"/>
        <v>0</v>
      </c>
      <c r="AR109" s="4"/>
      <c r="AS109" s="4"/>
      <c r="AT109" s="5">
        <f t="shared" si="95"/>
        <v>0</v>
      </c>
      <c r="AU109" s="23">
        <f t="shared" si="98"/>
        <v>0</v>
      </c>
      <c r="AV109" s="14">
        <f t="shared" si="96"/>
        <v>0</v>
      </c>
      <c r="AW109" s="24">
        <f t="shared" si="99"/>
        <v>0</v>
      </c>
      <c r="AX109" s="14">
        <f t="shared" si="97"/>
        <v>0</v>
      </c>
      <c r="AY109" s="23"/>
      <c r="AZ109" s="14"/>
      <c r="BA109" s="13"/>
      <c r="BB109" s="24"/>
    </row>
    <row r="110" spans="1:54" x14ac:dyDescent="0.25">
      <c r="A110" s="3" t="s">
        <v>117</v>
      </c>
      <c r="B110" s="7">
        <f>(((B106)+(B107))+(B108))+(B109)</f>
        <v>0</v>
      </c>
      <c r="C110" s="7">
        <f>(((C106)+(C107))+(C108))+(C109)</f>
        <v>1333.34</v>
      </c>
      <c r="D110" s="7">
        <f t="shared" si="75"/>
        <v>-1333.34</v>
      </c>
      <c r="E110" s="8">
        <f t="shared" si="76"/>
        <v>0</v>
      </c>
      <c r="F110" s="7">
        <f>(((F106)+(F107))+(F108))+(F109)</f>
        <v>0</v>
      </c>
      <c r="G110" s="7">
        <f>(((G106)+(G107))+(G108))+(G109)</f>
        <v>1333.34</v>
      </c>
      <c r="H110" s="7">
        <f t="shared" si="77"/>
        <v>-1333.34</v>
      </c>
      <c r="I110" s="8">
        <f t="shared" si="78"/>
        <v>0</v>
      </c>
      <c r="J110" s="7">
        <f>(((J106)+(J107))+(J108))+(J109)</f>
        <v>0</v>
      </c>
      <c r="K110" s="7">
        <f>(((K106)+(K107))+(K108))+(K109)</f>
        <v>1333.34</v>
      </c>
      <c r="L110" s="7">
        <f t="shared" si="79"/>
        <v>-1333.34</v>
      </c>
      <c r="M110" s="8">
        <f t="shared" si="80"/>
        <v>0</v>
      </c>
      <c r="N110" s="7">
        <f>(((N106)+(N107))+(N108))+(N109)</f>
        <v>2955.25</v>
      </c>
      <c r="O110" s="7">
        <f>(((O106)+(O107))+(O108))+(O109)</f>
        <v>1333.34</v>
      </c>
      <c r="P110" s="7">
        <f t="shared" si="81"/>
        <v>1621.91</v>
      </c>
      <c r="Q110" s="8">
        <f t="shared" si="82"/>
        <v>2.2164264178679107</v>
      </c>
      <c r="R110" s="7">
        <f>(((R106)+(R107))+(R108))+(R109)</f>
        <v>123.38</v>
      </c>
      <c r="S110" s="7">
        <f>(((S106)+(S107))+(S108))+(S109)</f>
        <v>1333.34</v>
      </c>
      <c r="T110" s="7">
        <f t="shared" si="83"/>
        <v>-1209.96</v>
      </c>
      <c r="U110" s="8">
        <f t="shared" si="84"/>
        <v>9.2534537327313371E-2</v>
      </c>
      <c r="V110" s="7">
        <f>(((V106)+(V107))+(V108))+(V109)</f>
        <v>1922.17</v>
      </c>
      <c r="W110" s="7">
        <f>(((W106)+(W107))+(W108))+(W109)</f>
        <v>1333.34</v>
      </c>
      <c r="X110" s="7">
        <f t="shared" si="85"/>
        <v>588.83000000000015</v>
      </c>
      <c r="Y110" s="8">
        <f t="shared" si="86"/>
        <v>1.4416202918985406</v>
      </c>
      <c r="Z110" s="7">
        <f>(((Z106)+(Z107))+(Z108))+(Z109)</f>
        <v>733.11999999999989</v>
      </c>
      <c r="AA110" s="7">
        <f>(((AA106)+(AA107))+(AA108))+(AA109)</f>
        <v>1333.34</v>
      </c>
      <c r="AB110" s="7">
        <f t="shared" si="87"/>
        <v>-600.22</v>
      </c>
      <c r="AC110" s="8">
        <f t="shared" si="88"/>
        <v>0.5498372508137459</v>
      </c>
      <c r="AD110" s="7">
        <f>(((AD106)+(AD107))+(AD108))+(AD109)</f>
        <v>3159.26</v>
      </c>
      <c r="AE110" s="7">
        <f>(((AE106)+(AE107))+(AE108))+(AE109)</f>
        <v>1333.34</v>
      </c>
      <c r="AF110" s="7">
        <f t="shared" si="89"/>
        <v>1825.9200000000003</v>
      </c>
      <c r="AG110" s="8">
        <f t="shared" si="90"/>
        <v>2.3694331528342363</v>
      </c>
      <c r="AH110" s="7">
        <f>(((AH106)+(AH107))+(AH108))+(AH109)</f>
        <v>4228.9400000000005</v>
      </c>
      <c r="AI110" s="7">
        <f>(((AI106)+(AI107))+(AI108))+(AI109)</f>
        <v>1333.34</v>
      </c>
      <c r="AJ110" s="7">
        <f t="shared" si="91"/>
        <v>2895.6000000000004</v>
      </c>
      <c r="AK110" s="8">
        <f t="shared" si="92"/>
        <v>3.1716891415542929</v>
      </c>
      <c r="AL110" s="7">
        <f>(((AL106)+(AL107))+(AL108))+(AL109)</f>
        <v>565.11</v>
      </c>
      <c r="AM110" s="7">
        <f>(((AM106)+(AM107))+(AM108))+(AM109)</f>
        <v>1333.34</v>
      </c>
      <c r="AN110" s="7">
        <f t="shared" si="93"/>
        <v>-768.2299999999999</v>
      </c>
      <c r="AO110" s="7">
        <f>(((AO106)+(AO107))+(AO108))+(AO109)</f>
        <v>0</v>
      </c>
      <c r="AP110" s="7">
        <f>(((AP106)+(AP107))+(AP108))+(AP109)</f>
        <v>1333.34</v>
      </c>
      <c r="AQ110" s="7">
        <f t="shared" si="94"/>
        <v>-1333.34</v>
      </c>
      <c r="AR110" s="7">
        <f>(((AR106)+(AR107))+(AR108))+(AR109)</f>
        <v>0</v>
      </c>
      <c r="AS110" s="7">
        <f>(((AS106)+(AS107))+(AS108))+(AS109)</f>
        <v>1333.26</v>
      </c>
      <c r="AT110" s="7">
        <f t="shared" si="95"/>
        <v>-1333.26</v>
      </c>
      <c r="AU110" s="25">
        <f t="shared" si="98"/>
        <v>13687.230000000001</v>
      </c>
      <c r="AV110" s="16">
        <f t="shared" si="96"/>
        <v>16424.676000000003</v>
      </c>
      <c r="AW110" s="26">
        <f t="shared" si="99"/>
        <v>16000</v>
      </c>
      <c r="AX110" s="16">
        <f t="shared" si="97"/>
        <v>-2312.7699999999986</v>
      </c>
      <c r="AY110" s="25">
        <f>BB110</f>
        <v>18000</v>
      </c>
      <c r="AZ110" s="18">
        <f>AY110-AW110</f>
        <v>2000</v>
      </c>
      <c r="BA110" s="13"/>
      <c r="BB110" s="26">
        <f>SUM(BB107:BB109)</f>
        <v>18000</v>
      </c>
    </row>
    <row r="111" spans="1:54" x14ac:dyDescent="0.25">
      <c r="A111" s="3" t="s">
        <v>118</v>
      </c>
      <c r="B111" s="4"/>
      <c r="C111" s="4"/>
      <c r="D111" s="5">
        <f t="shared" si="75"/>
        <v>0</v>
      </c>
      <c r="E111" s="6" t="str">
        <f t="shared" si="76"/>
        <v/>
      </c>
      <c r="F111" s="4"/>
      <c r="G111" s="4"/>
      <c r="H111" s="5">
        <f t="shared" si="77"/>
        <v>0</v>
      </c>
      <c r="I111" s="6" t="str">
        <f t="shared" si="78"/>
        <v/>
      </c>
      <c r="J111" s="4"/>
      <c r="K111" s="4"/>
      <c r="L111" s="5">
        <f t="shared" si="79"/>
        <v>0</v>
      </c>
      <c r="M111" s="6" t="str">
        <f t="shared" si="80"/>
        <v/>
      </c>
      <c r="N111" s="4"/>
      <c r="O111" s="4"/>
      <c r="P111" s="5">
        <f t="shared" si="81"/>
        <v>0</v>
      </c>
      <c r="Q111" s="6" t="str">
        <f t="shared" si="82"/>
        <v/>
      </c>
      <c r="R111" s="4"/>
      <c r="S111" s="4"/>
      <c r="T111" s="5">
        <f t="shared" si="83"/>
        <v>0</v>
      </c>
      <c r="U111" s="6" t="str">
        <f t="shared" si="84"/>
        <v/>
      </c>
      <c r="V111" s="4"/>
      <c r="W111" s="4"/>
      <c r="X111" s="5">
        <f t="shared" si="85"/>
        <v>0</v>
      </c>
      <c r="Y111" s="6" t="str">
        <f t="shared" si="86"/>
        <v/>
      </c>
      <c r="Z111" s="4"/>
      <c r="AA111" s="4"/>
      <c r="AB111" s="5">
        <f t="shared" si="87"/>
        <v>0</v>
      </c>
      <c r="AC111" s="6" t="str">
        <f t="shared" si="88"/>
        <v/>
      </c>
      <c r="AD111" s="4"/>
      <c r="AE111" s="4"/>
      <c r="AF111" s="5">
        <f t="shared" si="89"/>
        <v>0</v>
      </c>
      <c r="AG111" s="6" t="str">
        <f t="shared" si="90"/>
        <v/>
      </c>
      <c r="AH111" s="4"/>
      <c r="AI111" s="4"/>
      <c r="AJ111" s="5">
        <f t="shared" si="91"/>
        <v>0</v>
      </c>
      <c r="AK111" s="6" t="str">
        <f t="shared" si="92"/>
        <v/>
      </c>
      <c r="AL111" s="4"/>
      <c r="AM111" s="4"/>
      <c r="AN111" s="5">
        <f t="shared" si="93"/>
        <v>0</v>
      </c>
      <c r="AO111" s="4"/>
      <c r="AP111" s="4"/>
      <c r="AQ111" s="5">
        <f t="shared" si="94"/>
        <v>0</v>
      </c>
      <c r="AR111" s="4"/>
      <c r="AS111" s="4"/>
      <c r="AT111" s="5">
        <f t="shared" si="95"/>
        <v>0</v>
      </c>
      <c r="AU111" s="23">
        <f t="shared" si="98"/>
        <v>0</v>
      </c>
      <c r="AV111" s="14">
        <f t="shared" si="96"/>
        <v>0</v>
      </c>
      <c r="AW111" s="24">
        <f t="shared" si="99"/>
        <v>0</v>
      </c>
      <c r="AX111" s="14">
        <f t="shared" si="97"/>
        <v>0</v>
      </c>
      <c r="AY111" s="23"/>
      <c r="AZ111" s="14"/>
      <c r="BA111" s="13"/>
      <c r="BB111" s="24"/>
    </row>
    <row r="112" spans="1:54" x14ac:dyDescent="0.25">
      <c r="A112" s="3" t="s">
        <v>119</v>
      </c>
      <c r="B112" s="5">
        <f>4480.13</f>
        <v>4480.13</v>
      </c>
      <c r="C112" s="5">
        <f>4875</f>
        <v>4875</v>
      </c>
      <c r="D112" s="5">
        <f t="shared" si="75"/>
        <v>-394.86999999999989</v>
      </c>
      <c r="E112" s="6">
        <f t="shared" si="76"/>
        <v>0.9190010256410257</v>
      </c>
      <c r="F112" s="5">
        <f>3087.5</f>
        <v>3087.5</v>
      </c>
      <c r="G112" s="5">
        <f>4875</f>
        <v>4875</v>
      </c>
      <c r="H112" s="5">
        <f t="shared" si="77"/>
        <v>-1787.5</v>
      </c>
      <c r="I112" s="6">
        <f t="shared" si="78"/>
        <v>0.6333333333333333</v>
      </c>
      <c r="J112" s="5">
        <f>3698.8</f>
        <v>3698.8</v>
      </c>
      <c r="K112" s="5">
        <f>4875</f>
        <v>4875</v>
      </c>
      <c r="L112" s="5">
        <f t="shared" si="79"/>
        <v>-1176.1999999999998</v>
      </c>
      <c r="M112" s="6">
        <f t="shared" si="80"/>
        <v>0.75872820512820516</v>
      </c>
      <c r="N112" s="5">
        <f>3250</f>
        <v>3250</v>
      </c>
      <c r="O112" s="5">
        <f>4875</f>
        <v>4875</v>
      </c>
      <c r="P112" s="5">
        <f t="shared" si="81"/>
        <v>-1625</v>
      </c>
      <c r="Q112" s="6">
        <f t="shared" si="82"/>
        <v>0.66666666666666663</v>
      </c>
      <c r="R112" s="5">
        <f>2927.78</f>
        <v>2927.78</v>
      </c>
      <c r="S112" s="5">
        <f>4875</f>
        <v>4875</v>
      </c>
      <c r="T112" s="5">
        <f t="shared" si="83"/>
        <v>-1947.2199999999998</v>
      </c>
      <c r="U112" s="6">
        <f t="shared" si="84"/>
        <v>0.60057025641025641</v>
      </c>
      <c r="V112" s="5">
        <f>4073.97</f>
        <v>4073.97</v>
      </c>
      <c r="W112" s="5">
        <f>4875</f>
        <v>4875</v>
      </c>
      <c r="X112" s="5">
        <f t="shared" si="85"/>
        <v>-801.0300000000002</v>
      </c>
      <c r="Y112" s="6">
        <f t="shared" si="86"/>
        <v>0.83568615384615386</v>
      </c>
      <c r="Z112" s="5">
        <f>4448.89</f>
        <v>4448.8900000000003</v>
      </c>
      <c r="AA112" s="5">
        <f>4875</f>
        <v>4875</v>
      </c>
      <c r="AB112" s="5">
        <f t="shared" si="87"/>
        <v>-426.10999999999967</v>
      </c>
      <c r="AC112" s="6">
        <f t="shared" si="88"/>
        <v>0.91259282051282054</v>
      </c>
      <c r="AD112" s="5">
        <f>4121.77</f>
        <v>4121.7700000000004</v>
      </c>
      <c r="AE112" s="5">
        <f>4875</f>
        <v>4875</v>
      </c>
      <c r="AF112" s="5">
        <f t="shared" si="89"/>
        <v>-753.22999999999956</v>
      </c>
      <c r="AG112" s="6">
        <f t="shared" si="90"/>
        <v>0.8454912820512821</v>
      </c>
      <c r="AH112" s="5">
        <f>3673.07</f>
        <v>3673.07</v>
      </c>
      <c r="AI112" s="5">
        <f>4875</f>
        <v>4875</v>
      </c>
      <c r="AJ112" s="5">
        <f t="shared" si="91"/>
        <v>-1201.9299999999998</v>
      </c>
      <c r="AK112" s="6">
        <f t="shared" si="92"/>
        <v>0.75345025641025642</v>
      </c>
      <c r="AL112" s="5">
        <f>4918.24</f>
        <v>4918.24</v>
      </c>
      <c r="AM112" s="5">
        <f>4875</f>
        <v>4875</v>
      </c>
      <c r="AN112" s="5">
        <f t="shared" si="93"/>
        <v>43.239999999999782</v>
      </c>
      <c r="AO112" s="4"/>
      <c r="AP112" s="5">
        <f>4875</f>
        <v>4875</v>
      </c>
      <c r="AQ112" s="5">
        <f t="shared" si="94"/>
        <v>-4875</v>
      </c>
      <c r="AR112" s="4"/>
      <c r="AS112" s="5">
        <f>4875</f>
        <v>4875</v>
      </c>
      <c r="AT112" s="5">
        <f t="shared" si="95"/>
        <v>-4875</v>
      </c>
      <c r="AU112" s="23">
        <f t="shared" si="98"/>
        <v>38680.15</v>
      </c>
      <c r="AV112" s="14">
        <f t="shared" si="96"/>
        <v>46416.180000000008</v>
      </c>
      <c r="AW112" s="24">
        <f t="shared" si="99"/>
        <v>58500</v>
      </c>
      <c r="AX112" s="14">
        <f t="shared" si="97"/>
        <v>-19819.849999999999</v>
      </c>
      <c r="AY112" s="23"/>
      <c r="AZ112" s="14"/>
      <c r="BA112" s="13" t="s">
        <v>180</v>
      </c>
      <c r="BB112" s="24">
        <v>76500</v>
      </c>
    </row>
    <row r="113" spans="1:54" x14ac:dyDescent="0.25">
      <c r="A113" s="3" t="s">
        <v>120</v>
      </c>
      <c r="B113" s="5">
        <f>2412.37</f>
        <v>2412.37</v>
      </c>
      <c r="C113" s="5">
        <f>2625</f>
        <v>2625</v>
      </c>
      <c r="D113" s="5">
        <f t="shared" ref="D113:D124" si="100">(B113)-(C113)</f>
        <v>-212.63000000000011</v>
      </c>
      <c r="E113" s="6">
        <f t="shared" ref="E113:E124" si="101">IF(C113=0,"",(B113)/(C113))</f>
        <v>0.91899809523809517</v>
      </c>
      <c r="F113" s="5">
        <f>1662.5</f>
        <v>1662.5</v>
      </c>
      <c r="G113" s="5">
        <f>2625</f>
        <v>2625</v>
      </c>
      <c r="H113" s="5">
        <f t="shared" ref="H113:H124" si="102">(F113)-(G113)</f>
        <v>-962.5</v>
      </c>
      <c r="I113" s="6">
        <f t="shared" ref="I113:I124" si="103">IF(G113=0,"",(F113)/(G113))</f>
        <v>0.6333333333333333</v>
      </c>
      <c r="J113" s="5">
        <f>1991.66</f>
        <v>1991.66</v>
      </c>
      <c r="K113" s="5">
        <f>2625</f>
        <v>2625</v>
      </c>
      <c r="L113" s="5">
        <f t="shared" ref="L113:L124" si="104">(J113)-(K113)</f>
        <v>-633.33999999999992</v>
      </c>
      <c r="M113" s="6">
        <f t="shared" ref="M113:M124" si="105">IF(K113=0,"",(J113)/(K113))</f>
        <v>0.7587276190476191</v>
      </c>
      <c r="N113" s="5">
        <f>1750</f>
        <v>1750</v>
      </c>
      <c r="O113" s="5">
        <f>2625</f>
        <v>2625</v>
      </c>
      <c r="P113" s="5">
        <f t="shared" ref="P113:P124" si="106">(N113)-(O113)</f>
        <v>-875</v>
      </c>
      <c r="Q113" s="6">
        <f t="shared" ref="Q113:Q124" si="107">IF(O113=0,"",(N113)/(O113))</f>
        <v>0.66666666666666663</v>
      </c>
      <c r="R113" s="5">
        <f>1576.49</f>
        <v>1576.49</v>
      </c>
      <c r="S113" s="5">
        <f>2625</f>
        <v>2625</v>
      </c>
      <c r="T113" s="5">
        <f t="shared" ref="T113:T124" si="108">(R113)-(S113)</f>
        <v>-1048.51</v>
      </c>
      <c r="U113" s="6">
        <f t="shared" ref="U113:U124" si="109">IF(S113=0,"",(R113)/(S113))</f>
        <v>0.60056761904761902</v>
      </c>
      <c r="V113" s="5">
        <f>2193.68</f>
        <v>2193.6799999999998</v>
      </c>
      <c r="W113" s="5">
        <f>2625</f>
        <v>2625</v>
      </c>
      <c r="X113" s="5">
        <f t="shared" ref="X113:X124" si="110">(V113)-(W113)</f>
        <v>-431.32000000000016</v>
      </c>
      <c r="Y113" s="6">
        <f t="shared" ref="Y113:Y124" si="111">IF(W113=0,"",(V113)/(W113))</f>
        <v>0.83568761904761901</v>
      </c>
      <c r="Z113" s="5">
        <f>2395.55</f>
        <v>2395.5500000000002</v>
      </c>
      <c r="AA113" s="5">
        <f>2625</f>
        <v>2625</v>
      </c>
      <c r="AB113" s="5">
        <f t="shared" ref="AB113:AB124" si="112">(Z113)-(AA113)</f>
        <v>-229.44999999999982</v>
      </c>
      <c r="AC113" s="6">
        <f t="shared" ref="AC113:AC124" si="113">IF(AA113=0,"",(Z113)/(AA113))</f>
        <v>0.91259047619047629</v>
      </c>
      <c r="AD113" s="5">
        <f>2219.41</f>
        <v>2219.41</v>
      </c>
      <c r="AE113" s="5">
        <f>2625</f>
        <v>2625</v>
      </c>
      <c r="AF113" s="5">
        <f t="shared" ref="AF113:AF124" si="114">(AD113)-(AE113)</f>
        <v>-405.59000000000015</v>
      </c>
      <c r="AG113" s="6">
        <f t="shared" ref="AG113:AG124" si="115">IF(AE113=0,"",(AD113)/(AE113))</f>
        <v>0.8454895238095238</v>
      </c>
      <c r="AH113" s="5">
        <f>1977.81</f>
        <v>1977.81</v>
      </c>
      <c r="AI113" s="5">
        <f>2625</f>
        <v>2625</v>
      </c>
      <c r="AJ113" s="5">
        <f t="shared" ref="AJ113:AJ124" si="116">(AH113)-(AI113)</f>
        <v>-647.19000000000005</v>
      </c>
      <c r="AK113" s="6">
        <f t="shared" ref="AK113:AK124" si="117">IF(AI113=0,"",(AH113)/(AI113))</f>
        <v>0.75345142857142855</v>
      </c>
      <c r="AL113" s="5">
        <f>2648.29</f>
        <v>2648.29</v>
      </c>
      <c r="AM113" s="5">
        <f>2625</f>
        <v>2625</v>
      </c>
      <c r="AN113" s="5">
        <f t="shared" ref="AN113:AN124" si="118">(AL113)-(AM113)</f>
        <v>23.289999999999964</v>
      </c>
      <c r="AO113" s="4"/>
      <c r="AP113" s="5">
        <f>2625</f>
        <v>2625</v>
      </c>
      <c r="AQ113" s="5">
        <f t="shared" ref="AQ113:AQ124" si="119">(AO113)-(AP113)</f>
        <v>-2625</v>
      </c>
      <c r="AR113" s="4"/>
      <c r="AS113" s="5">
        <f>2625</f>
        <v>2625</v>
      </c>
      <c r="AT113" s="5">
        <f t="shared" ref="AT113:AT124" si="120">(AR113)-(AS113)</f>
        <v>-2625</v>
      </c>
      <c r="AU113" s="23">
        <f t="shared" si="98"/>
        <v>20827.760000000002</v>
      </c>
      <c r="AV113" s="14">
        <f t="shared" si="96"/>
        <v>24993.312000000005</v>
      </c>
      <c r="AW113" s="24">
        <f t="shared" si="99"/>
        <v>31500</v>
      </c>
      <c r="AX113" s="14">
        <f t="shared" ref="AX113:AX124" si="121">(AU113)-(AW113)</f>
        <v>-10672.239999999998</v>
      </c>
      <c r="AY113" s="23"/>
      <c r="AZ113" s="14"/>
      <c r="BA113" s="43"/>
      <c r="BB113" s="24">
        <v>0</v>
      </c>
    </row>
    <row r="114" spans="1:54" x14ac:dyDescent="0.25">
      <c r="A114" s="3" t="s">
        <v>121</v>
      </c>
      <c r="B114" s="5">
        <f>0</f>
        <v>0</v>
      </c>
      <c r="C114" s="4"/>
      <c r="D114" s="5">
        <f t="shared" si="100"/>
        <v>0</v>
      </c>
      <c r="E114" s="6" t="str">
        <f t="shared" si="101"/>
        <v/>
      </c>
      <c r="F114" s="5">
        <f>0</f>
        <v>0</v>
      </c>
      <c r="G114" s="4"/>
      <c r="H114" s="5">
        <f t="shared" si="102"/>
        <v>0</v>
      </c>
      <c r="I114" s="6" t="str">
        <f t="shared" si="103"/>
        <v/>
      </c>
      <c r="J114" s="5">
        <f>-1190.46</f>
        <v>-1190.46</v>
      </c>
      <c r="K114" s="4"/>
      <c r="L114" s="5">
        <f t="shared" si="104"/>
        <v>-1190.46</v>
      </c>
      <c r="M114" s="6" t="str">
        <f t="shared" si="105"/>
        <v/>
      </c>
      <c r="N114" s="5">
        <f>0</f>
        <v>0</v>
      </c>
      <c r="O114" s="4"/>
      <c r="P114" s="5">
        <f t="shared" si="106"/>
        <v>0</v>
      </c>
      <c r="Q114" s="6" t="str">
        <f t="shared" si="107"/>
        <v/>
      </c>
      <c r="R114" s="5">
        <f>0</f>
        <v>0</v>
      </c>
      <c r="S114" s="4"/>
      <c r="T114" s="5">
        <f t="shared" si="108"/>
        <v>0</v>
      </c>
      <c r="U114" s="6" t="str">
        <f t="shared" si="109"/>
        <v/>
      </c>
      <c r="V114" s="5">
        <f>1190.46</f>
        <v>1190.46</v>
      </c>
      <c r="W114" s="4"/>
      <c r="X114" s="5">
        <f t="shared" si="110"/>
        <v>1190.46</v>
      </c>
      <c r="Y114" s="6" t="str">
        <f t="shared" si="111"/>
        <v/>
      </c>
      <c r="Z114" s="5">
        <f>0</f>
        <v>0</v>
      </c>
      <c r="AA114" s="4"/>
      <c r="AB114" s="5">
        <f t="shared" si="112"/>
        <v>0</v>
      </c>
      <c r="AC114" s="6" t="str">
        <f t="shared" si="113"/>
        <v/>
      </c>
      <c r="AD114" s="5">
        <f>394.88</f>
        <v>394.88</v>
      </c>
      <c r="AE114" s="4"/>
      <c r="AF114" s="5">
        <f t="shared" si="114"/>
        <v>394.88</v>
      </c>
      <c r="AG114" s="6" t="str">
        <f t="shared" si="115"/>
        <v/>
      </c>
      <c r="AH114" s="5">
        <f>-394.88</f>
        <v>-394.88</v>
      </c>
      <c r="AI114" s="4"/>
      <c r="AJ114" s="5">
        <f t="shared" si="116"/>
        <v>-394.88</v>
      </c>
      <c r="AK114" s="6" t="str">
        <f t="shared" si="117"/>
        <v/>
      </c>
      <c r="AL114" s="5">
        <f>0</f>
        <v>0</v>
      </c>
      <c r="AM114" s="4"/>
      <c r="AN114" s="5">
        <f t="shared" si="118"/>
        <v>0</v>
      </c>
      <c r="AO114" s="5">
        <v>0</v>
      </c>
      <c r="AP114" s="4"/>
      <c r="AQ114" s="5">
        <f t="shared" si="119"/>
        <v>0</v>
      </c>
      <c r="AR114" s="4"/>
      <c r="AS114" s="4"/>
      <c r="AT114" s="5">
        <f t="shared" si="120"/>
        <v>0</v>
      </c>
      <c r="AU114" s="23">
        <f t="shared" si="98"/>
        <v>0</v>
      </c>
      <c r="AV114" s="14">
        <f t="shared" si="96"/>
        <v>0</v>
      </c>
      <c r="AW114" s="24">
        <f t="shared" si="99"/>
        <v>0</v>
      </c>
      <c r="AX114" s="14">
        <f t="shared" si="121"/>
        <v>0</v>
      </c>
      <c r="AY114" s="23"/>
      <c r="AZ114" s="14"/>
      <c r="BA114" s="41"/>
      <c r="BB114" s="24"/>
    </row>
    <row r="115" spans="1:54" x14ac:dyDescent="0.25">
      <c r="A115" s="3" t="s">
        <v>122</v>
      </c>
      <c r="B115" s="7">
        <f>(((B111)+(B112))+(B113))+(B114)</f>
        <v>6892.5</v>
      </c>
      <c r="C115" s="7">
        <f>(((C111)+(C112))+(C113))+(C114)</f>
        <v>7500</v>
      </c>
      <c r="D115" s="7">
        <f t="shared" si="100"/>
        <v>-607.5</v>
      </c>
      <c r="E115" s="8">
        <f t="shared" si="101"/>
        <v>0.91900000000000004</v>
      </c>
      <c r="F115" s="7">
        <f>(((F111)+(F112))+(F113))+(F114)</f>
        <v>4750</v>
      </c>
      <c r="G115" s="7">
        <f>(((G111)+(G112))+(G113))+(G114)</f>
        <v>7500</v>
      </c>
      <c r="H115" s="7">
        <f t="shared" si="102"/>
        <v>-2750</v>
      </c>
      <c r="I115" s="8">
        <f t="shared" si="103"/>
        <v>0.6333333333333333</v>
      </c>
      <c r="J115" s="7">
        <f>(((J111)+(J112))+(J113))+(J114)</f>
        <v>4500</v>
      </c>
      <c r="K115" s="7">
        <f>(((K111)+(K112))+(K113))+(K114)</f>
        <v>7500</v>
      </c>
      <c r="L115" s="7">
        <f t="shared" si="104"/>
        <v>-3000</v>
      </c>
      <c r="M115" s="8">
        <f t="shared" si="105"/>
        <v>0.6</v>
      </c>
      <c r="N115" s="7">
        <f>(((N111)+(N112))+(N113))+(N114)</f>
        <v>5000</v>
      </c>
      <c r="O115" s="7">
        <f>(((O111)+(O112))+(O113))+(O114)</f>
        <v>7500</v>
      </c>
      <c r="P115" s="7">
        <f t="shared" si="106"/>
        <v>-2500</v>
      </c>
      <c r="Q115" s="8">
        <f t="shared" si="107"/>
        <v>0.66666666666666663</v>
      </c>
      <c r="R115" s="7">
        <f>(((R111)+(R112))+(R113))+(R114)</f>
        <v>4504.2700000000004</v>
      </c>
      <c r="S115" s="7">
        <f>(((S111)+(S112))+(S113))+(S114)</f>
        <v>7500</v>
      </c>
      <c r="T115" s="7">
        <f t="shared" si="108"/>
        <v>-2995.7299999999996</v>
      </c>
      <c r="U115" s="8">
        <f t="shared" si="109"/>
        <v>0.6005693333333334</v>
      </c>
      <c r="V115" s="7">
        <f>(((V111)+(V112))+(V113))+(V114)</f>
        <v>7458.11</v>
      </c>
      <c r="W115" s="7">
        <f>(((W111)+(W112))+(W113))+(W114)</f>
        <v>7500</v>
      </c>
      <c r="X115" s="7">
        <f t="shared" si="110"/>
        <v>-41.890000000000327</v>
      </c>
      <c r="Y115" s="8">
        <f t="shared" si="111"/>
        <v>0.99441466666666667</v>
      </c>
      <c r="Z115" s="7">
        <f>(((Z111)+(Z112))+(Z113))+(Z114)</f>
        <v>6844.4400000000005</v>
      </c>
      <c r="AA115" s="7">
        <f>(((AA111)+(AA112))+(AA113))+(AA114)</f>
        <v>7500</v>
      </c>
      <c r="AB115" s="7">
        <f t="shared" si="112"/>
        <v>-655.55999999999949</v>
      </c>
      <c r="AC115" s="8">
        <f t="shared" si="113"/>
        <v>0.91259200000000007</v>
      </c>
      <c r="AD115" s="7">
        <f>(((AD111)+(AD112))+(AD113))+(AD114)</f>
        <v>6736.06</v>
      </c>
      <c r="AE115" s="7">
        <f>(((AE111)+(AE112))+(AE113))+(AE114)</f>
        <v>7500</v>
      </c>
      <c r="AF115" s="7">
        <f t="shared" si="114"/>
        <v>-763.9399999999996</v>
      </c>
      <c r="AG115" s="8">
        <f t="shared" si="115"/>
        <v>0.89814133333333335</v>
      </c>
      <c r="AH115" s="7">
        <f>(((AH111)+(AH112))+(AH113))+(AH114)</f>
        <v>5256</v>
      </c>
      <c r="AI115" s="7">
        <f>(((AI111)+(AI112))+(AI113))+(AI114)</f>
        <v>7500</v>
      </c>
      <c r="AJ115" s="7">
        <f t="shared" si="116"/>
        <v>-2244</v>
      </c>
      <c r="AK115" s="8">
        <f t="shared" si="117"/>
        <v>0.70079999999999998</v>
      </c>
      <c r="AL115" s="7">
        <f>(((AL111)+(AL112))+(AL113))+(AL114)</f>
        <v>7566.53</v>
      </c>
      <c r="AM115" s="7">
        <f>(((AM111)+(AM112))+(AM113))+(AM114)</f>
        <v>7500</v>
      </c>
      <c r="AN115" s="7">
        <f t="shared" si="118"/>
        <v>66.529999999999745</v>
      </c>
      <c r="AO115" s="7">
        <f>(((AO111)+(AO112))+(AO113))+(AO114)</f>
        <v>0</v>
      </c>
      <c r="AP115" s="7">
        <f>(((AP111)+(AP112))+(AP113))+(AP114)</f>
        <v>7500</v>
      </c>
      <c r="AQ115" s="7">
        <f t="shared" si="119"/>
        <v>-7500</v>
      </c>
      <c r="AR115" s="7">
        <f>(((AR111)+(AR112))+(AR113))+(AR114)</f>
        <v>0</v>
      </c>
      <c r="AS115" s="7">
        <f>(((AS111)+(AS112))+(AS113))+(AS114)</f>
        <v>7500</v>
      </c>
      <c r="AT115" s="7">
        <f t="shared" si="120"/>
        <v>-7500</v>
      </c>
      <c r="AU115" s="25">
        <f t="shared" si="98"/>
        <v>59507.909999999996</v>
      </c>
      <c r="AV115" s="16">
        <f t="shared" si="96"/>
        <v>71409.491999999998</v>
      </c>
      <c r="AW115" s="26">
        <f t="shared" si="99"/>
        <v>90000</v>
      </c>
      <c r="AX115" s="16">
        <f t="shared" si="121"/>
        <v>-30492.090000000004</v>
      </c>
      <c r="AY115" s="25">
        <f>BB115</f>
        <v>76500</v>
      </c>
      <c r="AZ115" s="18">
        <f>AY115-AW115</f>
        <v>-13500</v>
      </c>
      <c r="BA115" s="13"/>
      <c r="BB115" s="26">
        <f>SUM(BB112:BB114)</f>
        <v>76500</v>
      </c>
    </row>
    <row r="116" spans="1:54" x14ac:dyDescent="0.25">
      <c r="A116" s="3" t="s">
        <v>123</v>
      </c>
      <c r="B116" s="4"/>
      <c r="C116" s="4"/>
      <c r="D116" s="5">
        <f t="shared" si="100"/>
        <v>0</v>
      </c>
      <c r="E116" s="6" t="str">
        <f t="shared" si="101"/>
        <v/>
      </c>
      <c r="F116" s="4"/>
      <c r="G116" s="4"/>
      <c r="H116" s="5">
        <f t="shared" si="102"/>
        <v>0</v>
      </c>
      <c r="I116" s="6" t="str">
        <f t="shared" si="103"/>
        <v/>
      </c>
      <c r="J116" s="4"/>
      <c r="K116" s="4"/>
      <c r="L116" s="5">
        <f t="shared" si="104"/>
        <v>0</v>
      </c>
      <c r="M116" s="6" t="str">
        <f t="shared" si="105"/>
        <v/>
      </c>
      <c r="N116" s="4"/>
      <c r="O116" s="4"/>
      <c r="P116" s="5">
        <f t="shared" si="106"/>
        <v>0</v>
      </c>
      <c r="Q116" s="6" t="str">
        <f t="shared" si="107"/>
        <v/>
      </c>
      <c r="R116" s="4"/>
      <c r="S116" s="4"/>
      <c r="T116" s="5">
        <f t="shared" si="108"/>
        <v>0</v>
      </c>
      <c r="U116" s="6" t="str">
        <f t="shared" si="109"/>
        <v/>
      </c>
      <c r="V116" s="4"/>
      <c r="W116" s="4"/>
      <c r="X116" s="5">
        <f t="shared" si="110"/>
        <v>0</v>
      </c>
      <c r="Y116" s="6" t="str">
        <f t="shared" si="111"/>
        <v/>
      </c>
      <c r="Z116" s="4"/>
      <c r="AA116" s="4"/>
      <c r="AB116" s="5">
        <f t="shared" si="112"/>
        <v>0</v>
      </c>
      <c r="AC116" s="6" t="str">
        <f t="shared" si="113"/>
        <v/>
      </c>
      <c r="AD116" s="4"/>
      <c r="AE116" s="4"/>
      <c r="AF116" s="5">
        <f t="shared" si="114"/>
        <v>0</v>
      </c>
      <c r="AG116" s="6" t="str">
        <f t="shared" si="115"/>
        <v/>
      </c>
      <c r="AH116" s="4"/>
      <c r="AI116" s="4"/>
      <c r="AJ116" s="5">
        <f t="shared" si="116"/>
        <v>0</v>
      </c>
      <c r="AK116" s="6" t="str">
        <f t="shared" si="117"/>
        <v/>
      </c>
      <c r="AL116" s="4"/>
      <c r="AM116" s="4"/>
      <c r="AN116" s="5">
        <f t="shared" si="118"/>
        <v>0</v>
      </c>
      <c r="AO116" s="4"/>
      <c r="AP116" s="4"/>
      <c r="AQ116" s="5">
        <f t="shared" si="119"/>
        <v>0</v>
      </c>
      <c r="AR116" s="4"/>
      <c r="AS116" s="4"/>
      <c r="AT116" s="5">
        <f t="shared" si="120"/>
        <v>0</v>
      </c>
      <c r="AU116" s="23">
        <f t="shared" si="98"/>
        <v>0</v>
      </c>
      <c r="AV116" s="14">
        <f t="shared" si="96"/>
        <v>0</v>
      </c>
      <c r="AW116" s="24">
        <f t="shared" si="99"/>
        <v>0</v>
      </c>
      <c r="AX116" s="14">
        <f t="shared" si="121"/>
        <v>0</v>
      </c>
      <c r="AY116" s="23"/>
      <c r="AZ116" s="14"/>
      <c r="BA116" s="13" t="s">
        <v>151</v>
      </c>
      <c r="BB116" s="24">
        <v>140</v>
      </c>
    </row>
    <row r="117" spans="1:54" x14ac:dyDescent="0.25">
      <c r="A117" s="3" t="s">
        <v>124</v>
      </c>
      <c r="B117" s="5">
        <f>122.54</f>
        <v>122.54</v>
      </c>
      <c r="C117" s="5">
        <f>54.17</f>
        <v>54.17</v>
      </c>
      <c r="D117" s="5">
        <f t="shared" si="100"/>
        <v>68.37</v>
      </c>
      <c r="E117" s="6">
        <f t="shared" si="101"/>
        <v>2.2621377146021784</v>
      </c>
      <c r="F117" s="5">
        <f>21.42</f>
        <v>21.42</v>
      </c>
      <c r="G117" s="5">
        <f>54.17</f>
        <v>54.17</v>
      </c>
      <c r="H117" s="5">
        <f t="shared" si="102"/>
        <v>-32.75</v>
      </c>
      <c r="I117" s="6">
        <f t="shared" si="103"/>
        <v>0.39542182019568028</v>
      </c>
      <c r="J117" s="5">
        <f>213.76</f>
        <v>213.76</v>
      </c>
      <c r="K117" s="5">
        <f>54.17</f>
        <v>54.17</v>
      </c>
      <c r="L117" s="5">
        <f t="shared" si="104"/>
        <v>159.58999999999997</v>
      </c>
      <c r="M117" s="6">
        <f t="shared" si="105"/>
        <v>3.9460956248846224</v>
      </c>
      <c r="N117" s="5">
        <f>175.39</f>
        <v>175.39</v>
      </c>
      <c r="O117" s="5">
        <f>54.17</f>
        <v>54.17</v>
      </c>
      <c r="P117" s="5">
        <f t="shared" si="106"/>
        <v>121.21999999999998</v>
      </c>
      <c r="Q117" s="6">
        <f t="shared" si="107"/>
        <v>3.2377699833856375</v>
      </c>
      <c r="R117" s="5">
        <f>112.22</f>
        <v>112.22</v>
      </c>
      <c r="S117" s="5">
        <f>54.17</f>
        <v>54.17</v>
      </c>
      <c r="T117" s="5">
        <f t="shared" si="108"/>
        <v>58.05</v>
      </c>
      <c r="U117" s="6">
        <f t="shared" si="109"/>
        <v>2.0716263614546797</v>
      </c>
      <c r="V117" s="5">
        <f>162.51</f>
        <v>162.51</v>
      </c>
      <c r="W117" s="5">
        <f>54.17</f>
        <v>54.17</v>
      </c>
      <c r="X117" s="5">
        <f t="shared" si="110"/>
        <v>108.33999999999999</v>
      </c>
      <c r="Y117" s="6">
        <f t="shared" si="111"/>
        <v>2.9999999999999996</v>
      </c>
      <c r="Z117" s="5">
        <f>14.42</f>
        <v>14.42</v>
      </c>
      <c r="AA117" s="5">
        <f>54.17</f>
        <v>54.17</v>
      </c>
      <c r="AB117" s="5">
        <f t="shared" si="112"/>
        <v>-39.75</v>
      </c>
      <c r="AC117" s="6">
        <f t="shared" si="113"/>
        <v>0.26619900313826839</v>
      </c>
      <c r="AD117" s="5">
        <f>-43.37</f>
        <v>-43.37</v>
      </c>
      <c r="AE117" s="5">
        <f>54.17</f>
        <v>54.17</v>
      </c>
      <c r="AF117" s="5">
        <f t="shared" si="114"/>
        <v>-97.539999999999992</v>
      </c>
      <c r="AG117" s="6">
        <f t="shared" si="115"/>
        <v>-0.80062765368285016</v>
      </c>
      <c r="AH117" s="5">
        <f>-93.57</f>
        <v>-93.57</v>
      </c>
      <c r="AI117" s="5">
        <f>54.17</f>
        <v>54.17</v>
      </c>
      <c r="AJ117" s="5">
        <f t="shared" si="116"/>
        <v>-147.74</v>
      </c>
      <c r="AK117" s="6">
        <f t="shared" si="117"/>
        <v>-1.7273398560088609</v>
      </c>
      <c r="AL117" s="5">
        <f>14.9</f>
        <v>14.9</v>
      </c>
      <c r="AM117" s="5">
        <f>54.17</f>
        <v>54.17</v>
      </c>
      <c r="AN117" s="5">
        <f t="shared" si="118"/>
        <v>-39.270000000000003</v>
      </c>
      <c r="AO117" s="4"/>
      <c r="AP117" s="5">
        <f>54.17</f>
        <v>54.17</v>
      </c>
      <c r="AQ117" s="5">
        <f t="shared" si="119"/>
        <v>-54.17</v>
      </c>
      <c r="AR117" s="4"/>
      <c r="AS117" s="5">
        <f>54.13</f>
        <v>54.13</v>
      </c>
      <c r="AT117" s="5">
        <f t="shared" si="120"/>
        <v>-54.13</v>
      </c>
      <c r="AU117" s="23">
        <f t="shared" si="98"/>
        <v>700.21999999999991</v>
      </c>
      <c r="AV117" s="14">
        <f t="shared" si="96"/>
        <v>840.2639999999999</v>
      </c>
      <c r="AW117" s="24">
        <f t="shared" si="99"/>
        <v>650</v>
      </c>
      <c r="AX117" s="14">
        <f t="shared" si="121"/>
        <v>50.219999999999914</v>
      </c>
      <c r="AY117" s="23"/>
      <c r="AZ117" s="14"/>
      <c r="BA117" s="13" t="s">
        <v>152</v>
      </c>
      <c r="BB117" s="24">
        <v>350</v>
      </c>
    </row>
    <row r="118" spans="1:54" x14ac:dyDescent="0.25">
      <c r="A118" s="3" t="s">
        <v>125</v>
      </c>
      <c r="B118" s="5">
        <f>65.98</f>
        <v>65.98</v>
      </c>
      <c r="C118" s="5">
        <f>29.17</f>
        <v>29.17</v>
      </c>
      <c r="D118" s="5">
        <f t="shared" si="100"/>
        <v>36.81</v>
      </c>
      <c r="E118" s="6">
        <f t="shared" si="101"/>
        <v>2.26191292423723</v>
      </c>
      <c r="F118" s="5">
        <f>11.53</f>
        <v>11.53</v>
      </c>
      <c r="G118" s="5">
        <f>29.17</f>
        <v>29.17</v>
      </c>
      <c r="H118" s="5">
        <f t="shared" si="102"/>
        <v>-17.64</v>
      </c>
      <c r="I118" s="6">
        <f t="shared" si="103"/>
        <v>0.39526911210147408</v>
      </c>
      <c r="J118" s="5">
        <f>115.1</f>
        <v>115.1</v>
      </c>
      <c r="K118" s="5">
        <f>29.17</f>
        <v>29.17</v>
      </c>
      <c r="L118" s="5">
        <f t="shared" si="104"/>
        <v>85.929999999999993</v>
      </c>
      <c r="M118" s="6">
        <f t="shared" si="105"/>
        <v>3.9458347617415148</v>
      </c>
      <c r="N118" s="5">
        <f>94.44</f>
        <v>94.44</v>
      </c>
      <c r="O118" s="5">
        <f>29.17</f>
        <v>29.17</v>
      </c>
      <c r="P118" s="5">
        <f t="shared" si="106"/>
        <v>65.27</v>
      </c>
      <c r="Q118" s="6">
        <f t="shared" si="107"/>
        <v>3.2375728488172779</v>
      </c>
      <c r="R118" s="5">
        <f>60.42</f>
        <v>60.42</v>
      </c>
      <c r="S118" s="5">
        <f>29.17</f>
        <v>29.17</v>
      </c>
      <c r="T118" s="5">
        <f t="shared" si="108"/>
        <v>31.25</v>
      </c>
      <c r="U118" s="6">
        <f t="shared" si="109"/>
        <v>2.0713061364415495</v>
      </c>
      <c r="V118" s="5">
        <f>87.5</f>
        <v>87.5</v>
      </c>
      <c r="W118" s="5">
        <f>29.17</f>
        <v>29.17</v>
      </c>
      <c r="X118" s="5">
        <f t="shared" si="110"/>
        <v>58.33</v>
      </c>
      <c r="Y118" s="6">
        <f t="shared" si="111"/>
        <v>2.9996571820363385</v>
      </c>
      <c r="Z118" s="5">
        <f>7.77</f>
        <v>7.77</v>
      </c>
      <c r="AA118" s="5">
        <f>29.17</f>
        <v>29.17</v>
      </c>
      <c r="AB118" s="5">
        <f t="shared" si="112"/>
        <v>-21.400000000000002</v>
      </c>
      <c r="AC118" s="6">
        <f t="shared" si="113"/>
        <v>0.26636955776482685</v>
      </c>
      <c r="AD118" s="5">
        <f>-23.37</f>
        <v>-23.37</v>
      </c>
      <c r="AE118" s="5">
        <f>29.17</f>
        <v>29.17</v>
      </c>
      <c r="AF118" s="5">
        <f t="shared" si="114"/>
        <v>-52.540000000000006</v>
      </c>
      <c r="AG118" s="6">
        <f t="shared" si="115"/>
        <v>-0.80116558107644842</v>
      </c>
      <c r="AH118" s="5">
        <f>-50.39</f>
        <v>-50.39</v>
      </c>
      <c r="AI118" s="5">
        <f>29.17</f>
        <v>29.17</v>
      </c>
      <c r="AJ118" s="5">
        <f t="shared" si="116"/>
        <v>-79.56</v>
      </c>
      <c r="AK118" s="6">
        <f t="shared" si="117"/>
        <v>-1.7274597188892697</v>
      </c>
      <c r="AL118" s="5">
        <f>8.03</f>
        <v>8.0299999999999994</v>
      </c>
      <c r="AM118" s="5">
        <f>29.17</f>
        <v>29.17</v>
      </c>
      <c r="AN118" s="5">
        <f t="shared" si="118"/>
        <v>-21.14</v>
      </c>
      <c r="AO118" s="4"/>
      <c r="AP118" s="5">
        <f>29.17</f>
        <v>29.17</v>
      </c>
      <c r="AQ118" s="5">
        <f t="shared" si="119"/>
        <v>-29.17</v>
      </c>
      <c r="AR118" s="4"/>
      <c r="AS118" s="5">
        <f>29.13</f>
        <v>29.13</v>
      </c>
      <c r="AT118" s="5">
        <f t="shared" si="120"/>
        <v>-29.13</v>
      </c>
      <c r="AU118" s="23">
        <f t="shared" si="98"/>
        <v>377.01</v>
      </c>
      <c r="AV118" s="14">
        <f t="shared" si="96"/>
        <v>452.41200000000003</v>
      </c>
      <c r="AW118" s="24">
        <f t="shared" si="99"/>
        <v>350.00000000000011</v>
      </c>
      <c r="AX118" s="14">
        <f t="shared" si="121"/>
        <v>27.009999999999877</v>
      </c>
      <c r="AY118" s="23"/>
      <c r="AZ118" s="14"/>
      <c r="BA118" s="13" t="s">
        <v>153</v>
      </c>
      <c r="BB118" s="24">
        <v>270</v>
      </c>
    </row>
    <row r="119" spans="1:54" x14ac:dyDescent="0.25">
      <c r="A119" s="3"/>
      <c r="B119" s="5"/>
      <c r="C119" s="5"/>
      <c r="D119" s="5"/>
      <c r="E119" s="6"/>
      <c r="F119" s="5"/>
      <c r="G119" s="5"/>
      <c r="H119" s="5"/>
      <c r="I119" s="6"/>
      <c r="J119" s="5"/>
      <c r="K119" s="5"/>
      <c r="L119" s="5"/>
      <c r="M119" s="6"/>
      <c r="N119" s="5"/>
      <c r="O119" s="5"/>
      <c r="P119" s="5"/>
      <c r="Q119" s="6"/>
      <c r="R119" s="5"/>
      <c r="S119" s="5"/>
      <c r="T119" s="5"/>
      <c r="U119" s="6"/>
      <c r="V119" s="5"/>
      <c r="W119" s="5"/>
      <c r="X119" s="5"/>
      <c r="Y119" s="6"/>
      <c r="Z119" s="5"/>
      <c r="AA119" s="5"/>
      <c r="AB119" s="5"/>
      <c r="AC119" s="6"/>
      <c r="AD119" s="5"/>
      <c r="AE119" s="5"/>
      <c r="AF119" s="5"/>
      <c r="AG119" s="6"/>
      <c r="AH119" s="5"/>
      <c r="AI119" s="5"/>
      <c r="AJ119" s="5"/>
      <c r="AK119" s="6"/>
      <c r="AL119" s="5"/>
      <c r="AM119" s="5"/>
      <c r="AN119" s="5"/>
      <c r="AO119" s="4"/>
      <c r="AP119" s="5"/>
      <c r="AQ119" s="5"/>
      <c r="AR119" s="4"/>
      <c r="AS119" s="5"/>
      <c r="AT119" s="5"/>
      <c r="AU119" s="23"/>
      <c r="AV119" s="14"/>
      <c r="AW119" s="24"/>
      <c r="AX119" s="14"/>
      <c r="AY119" s="23"/>
      <c r="AZ119" s="14"/>
      <c r="BA119" s="13" t="s">
        <v>182</v>
      </c>
      <c r="BB119" s="24">
        <v>150</v>
      </c>
    </row>
    <row r="120" spans="1:54" x14ac:dyDescent="0.25">
      <c r="A120" s="3" t="s">
        <v>126</v>
      </c>
      <c r="B120" s="5">
        <f>0</f>
        <v>0</v>
      </c>
      <c r="C120" s="4"/>
      <c r="D120" s="5">
        <f t="shared" si="100"/>
        <v>0</v>
      </c>
      <c r="E120" s="6" t="str">
        <f t="shared" si="101"/>
        <v/>
      </c>
      <c r="F120" s="5">
        <f>0</f>
        <v>0</v>
      </c>
      <c r="G120" s="4"/>
      <c r="H120" s="5">
        <f t="shared" si="102"/>
        <v>0</v>
      </c>
      <c r="I120" s="6" t="str">
        <f t="shared" si="103"/>
        <v/>
      </c>
      <c r="J120" s="5">
        <f>0</f>
        <v>0</v>
      </c>
      <c r="K120" s="4"/>
      <c r="L120" s="5">
        <f t="shared" si="104"/>
        <v>0</v>
      </c>
      <c r="M120" s="6" t="str">
        <f t="shared" si="105"/>
        <v/>
      </c>
      <c r="N120" s="5">
        <f>0</f>
        <v>0</v>
      </c>
      <c r="O120" s="4"/>
      <c r="P120" s="5">
        <f t="shared" si="106"/>
        <v>0</v>
      </c>
      <c r="Q120" s="6" t="str">
        <f t="shared" si="107"/>
        <v/>
      </c>
      <c r="R120" s="5">
        <f>0</f>
        <v>0</v>
      </c>
      <c r="S120" s="4"/>
      <c r="T120" s="5">
        <f t="shared" si="108"/>
        <v>0</v>
      </c>
      <c r="U120" s="6" t="str">
        <f t="shared" si="109"/>
        <v/>
      </c>
      <c r="V120" s="5">
        <f>210.19</f>
        <v>210.19</v>
      </c>
      <c r="W120" s="4"/>
      <c r="X120" s="5">
        <f t="shared" si="110"/>
        <v>210.19</v>
      </c>
      <c r="Y120" s="6" t="str">
        <f t="shared" si="111"/>
        <v/>
      </c>
      <c r="Z120" s="5">
        <f>0</f>
        <v>0</v>
      </c>
      <c r="AA120" s="4"/>
      <c r="AB120" s="5">
        <f t="shared" si="112"/>
        <v>0</v>
      </c>
      <c r="AC120" s="6" t="str">
        <f t="shared" si="113"/>
        <v/>
      </c>
      <c r="AD120" s="5">
        <f>-210.19</f>
        <v>-210.19</v>
      </c>
      <c r="AE120" s="4"/>
      <c r="AF120" s="5">
        <f t="shared" si="114"/>
        <v>-210.19</v>
      </c>
      <c r="AG120" s="6" t="str">
        <f t="shared" si="115"/>
        <v/>
      </c>
      <c r="AH120" s="5">
        <f>0</f>
        <v>0</v>
      </c>
      <c r="AI120" s="4"/>
      <c r="AJ120" s="5">
        <f t="shared" si="116"/>
        <v>0</v>
      </c>
      <c r="AK120" s="6" t="str">
        <f t="shared" si="117"/>
        <v/>
      </c>
      <c r="AL120" s="5">
        <f>0</f>
        <v>0</v>
      </c>
      <c r="AM120" s="4"/>
      <c r="AN120" s="5">
        <f t="shared" si="118"/>
        <v>0</v>
      </c>
      <c r="AO120" s="4"/>
      <c r="AP120" s="4"/>
      <c r="AQ120" s="5">
        <f t="shared" si="119"/>
        <v>0</v>
      </c>
      <c r="AR120" s="4"/>
      <c r="AS120" s="4"/>
      <c r="AT120" s="5">
        <f t="shared" si="120"/>
        <v>0</v>
      </c>
      <c r="AU120" s="23">
        <f>(((((((((((B120)+(F120))+(J120))+(N120))+(R120))+(V120))+(Z120))+(AD120))+(AH120))+(AL120))+(AO120))+(AR120)</f>
        <v>0</v>
      </c>
      <c r="AV120" s="14">
        <f t="shared" si="96"/>
        <v>0</v>
      </c>
      <c r="AW120" s="24">
        <f>(((((((((((C120)+(G120))+(K120))+(O120))+(S120))+(W120))+(AA120))+(AE120))+(AI120))+(AM120))+(AP120))+(AS120)</f>
        <v>0</v>
      </c>
      <c r="AX120" s="14">
        <f t="shared" si="121"/>
        <v>0</v>
      </c>
      <c r="AY120" s="23"/>
      <c r="AZ120" s="14"/>
      <c r="BA120" s="43" t="s">
        <v>181</v>
      </c>
      <c r="BB120" s="24">
        <v>150</v>
      </c>
    </row>
    <row r="121" spans="1:54" x14ac:dyDescent="0.25">
      <c r="A121" s="3" t="s">
        <v>127</v>
      </c>
      <c r="B121" s="7">
        <f>(((B116)+(B117))+(B118))+(B120)</f>
        <v>188.52</v>
      </c>
      <c r="C121" s="7">
        <f>(((C116)+(C117))+(C118))+(C120)</f>
        <v>83.34</v>
      </c>
      <c r="D121" s="7">
        <f t="shared" si="100"/>
        <v>105.18</v>
      </c>
      <c r="E121" s="8">
        <f t="shared" si="101"/>
        <v>2.2620590352771779</v>
      </c>
      <c r="F121" s="7">
        <f>(((F116)+(F117))+(F118))+(F120)</f>
        <v>32.950000000000003</v>
      </c>
      <c r="G121" s="7">
        <f>(((G116)+(G117))+(G118))+(G120)</f>
        <v>83.34</v>
      </c>
      <c r="H121" s="7">
        <f t="shared" si="102"/>
        <v>-50.39</v>
      </c>
      <c r="I121" s="8">
        <f t="shared" si="103"/>
        <v>0.39536837053035762</v>
      </c>
      <c r="J121" s="7">
        <f>(((J116)+(J117))+(J118))+(J120)</f>
        <v>328.86</v>
      </c>
      <c r="K121" s="7">
        <f>(((K116)+(K117))+(K118))+(K120)</f>
        <v>83.34</v>
      </c>
      <c r="L121" s="7">
        <f t="shared" si="104"/>
        <v>245.52</v>
      </c>
      <c r="M121" s="8">
        <f t="shared" si="105"/>
        <v>3.9460043196544277</v>
      </c>
      <c r="N121" s="7">
        <f>(((N116)+(N117))+(N118))+(N120)</f>
        <v>269.83</v>
      </c>
      <c r="O121" s="7">
        <f>(((O116)+(O117))+(O118))+(O120)</f>
        <v>83.34</v>
      </c>
      <c r="P121" s="7">
        <f t="shared" si="106"/>
        <v>186.48999999999998</v>
      </c>
      <c r="Q121" s="8">
        <f t="shared" si="107"/>
        <v>3.237700983921286</v>
      </c>
      <c r="R121" s="7">
        <f>(((R116)+(R117))+(R118))+(R120)</f>
        <v>172.64</v>
      </c>
      <c r="S121" s="7">
        <f>(((S116)+(S117))+(S118))+(S120)</f>
        <v>83.34</v>
      </c>
      <c r="T121" s="7">
        <f t="shared" si="108"/>
        <v>89.299999999999983</v>
      </c>
      <c r="U121" s="8">
        <f t="shared" si="109"/>
        <v>2.0715142788576912</v>
      </c>
      <c r="V121" s="7">
        <f>(((V116)+(V117))+(V118))+(V120)</f>
        <v>460.2</v>
      </c>
      <c r="W121" s="7">
        <f>(((W116)+(W117))+(W118))+(W120)</f>
        <v>83.34</v>
      </c>
      <c r="X121" s="7">
        <f t="shared" si="110"/>
        <v>376.86</v>
      </c>
      <c r="Y121" s="8">
        <f t="shared" si="111"/>
        <v>5.5219582433405323</v>
      </c>
      <c r="Z121" s="7">
        <f>(((Z116)+(Z117))+(Z118))+(Z120)</f>
        <v>22.189999999999998</v>
      </c>
      <c r="AA121" s="7">
        <f>(((AA116)+(AA117))+(AA118))+(AA120)</f>
        <v>83.34</v>
      </c>
      <c r="AB121" s="7">
        <f t="shared" si="112"/>
        <v>-61.150000000000006</v>
      </c>
      <c r="AC121" s="8">
        <f t="shared" si="113"/>
        <v>0.26625869930405566</v>
      </c>
      <c r="AD121" s="7">
        <f>(((AD116)+(AD117))+(AD118))+(AD120)</f>
        <v>-276.93</v>
      </c>
      <c r="AE121" s="7">
        <f>(((AE116)+(AE117))+(AE118))+(AE120)</f>
        <v>83.34</v>
      </c>
      <c r="AF121" s="7">
        <f t="shared" si="114"/>
        <v>-360.27</v>
      </c>
      <c r="AG121" s="8">
        <f t="shared" si="115"/>
        <v>-3.3228941684665227</v>
      </c>
      <c r="AH121" s="7">
        <f>(((AH116)+(AH117))+(AH118))+(AH120)</f>
        <v>-143.95999999999998</v>
      </c>
      <c r="AI121" s="7">
        <f>(((AI116)+(AI117))+(AI118))+(AI120)</f>
        <v>83.34</v>
      </c>
      <c r="AJ121" s="7">
        <f t="shared" si="116"/>
        <v>-227.29999999999998</v>
      </c>
      <c r="AK121" s="8">
        <f t="shared" si="117"/>
        <v>-1.7273818094552433</v>
      </c>
      <c r="AL121" s="7">
        <f>(((AL116)+(AL117))+(AL118))+(AL120)</f>
        <v>22.93</v>
      </c>
      <c r="AM121" s="7">
        <f>(((AM116)+(AM117))+(AM118))+(AM120)</f>
        <v>83.34</v>
      </c>
      <c r="AN121" s="7">
        <f t="shared" si="118"/>
        <v>-60.410000000000004</v>
      </c>
      <c r="AO121" s="7">
        <f>(((AO116)+(AO117))+(AO118))+(AO120)</f>
        <v>0</v>
      </c>
      <c r="AP121" s="7">
        <f>(((AP116)+(AP117))+(AP118))+(AP120)</f>
        <v>83.34</v>
      </c>
      <c r="AQ121" s="7">
        <f t="shared" si="119"/>
        <v>-83.34</v>
      </c>
      <c r="AR121" s="7">
        <f>(((AR116)+(AR117))+(AR118))+(AR120)</f>
        <v>0</v>
      </c>
      <c r="AS121" s="7">
        <f>(((AS116)+(AS117))+(AS118))+(AS120)</f>
        <v>83.26</v>
      </c>
      <c r="AT121" s="7">
        <f t="shared" si="120"/>
        <v>-83.26</v>
      </c>
      <c r="AU121" s="25">
        <f>(((((((((((B121)+(F121))+(J121))+(N121))+(R121))+(V121))+(Z121))+(AD121))+(AH121))+(AL121))+(AO121))+(AR121)</f>
        <v>1077.23</v>
      </c>
      <c r="AV121" s="16">
        <f t="shared" si="96"/>
        <v>1292.6759999999999</v>
      </c>
      <c r="AW121" s="26">
        <f>(((((((((((C121)+(G121))+(K121))+(O121))+(S121))+(W121))+(AA121))+(AE121))+(AI121))+(AM121))+(AP121))+(AS121)</f>
        <v>1000.0000000000002</v>
      </c>
      <c r="AX121" s="16">
        <f t="shared" si="121"/>
        <v>77.229999999999791</v>
      </c>
      <c r="AY121" s="25">
        <f>BB121</f>
        <v>1060</v>
      </c>
      <c r="AZ121" s="18">
        <f>AY121-AW121</f>
        <v>59.999999999999773</v>
      </c>
      <c r="BA121" s="13"/>
      <c r="BB121" s="26">
        <f>SUM(BB116:BB120)</f>
        <v>1060</v>
      </c>
    </row>
    <row r="122" spans="1:54" ht="15.75" thickBot="1" x14ac:dyDescent="0.3">
      <c r="A122" s="3" t="s">
        <v>128</v>
      </c>
      <c r="B122" s="7">
        <f>((((((((((((((((((((B19)+(B24))+(B29))+(B34))+(B39))+(B44))+(B49))+(B54))+(B59))+(B64))+(B71))+(B76))+(B81))+(B86))+(B91))+(B96))+(B100))+(B105))+(B110))+(B115))+(B121)</f>
        <v>20857.250000000004</v>
      </c>
      <c r="C122" s="7">
        <f>((((((((((((((((((((C19)+(C24))+(C29))+(C34))+(C39))+(C44))+(C49))+(C54))+(C59))+(C64))+(C71))+(C76))+(C81))+(C86))+(C91))+(C96))+(C100))+(C105))+(C110))+(C115))+(C121)</f>
        <v>32207.31</v>
      </c>
      <c r="D122" s="7">
        <f t="shared" si="100"/>
        <v>-11350.059999999998</v>
      </c>
      <c r="E122" s="8">
        <f t="shared" si="101"/>
        <v>0.64759366740035107</v>
      </c>
      <c r="F122" s="7">
        <f>((((((((((((((((((((F19)+(F24))+(F29))+(F34))+(F39))+(F44))+(F49))+(F54))+(F59))+(F64))+(F71))+(F76))+(F81))+(F86))+(F91))+(F96))+(F100))+(F105))+(F110))+(F115))+(F121)</f>
        <v>22918.929999999997</v>
      </c>
      <c r="G122" s="7">
        <f>((((((((((((((((((((G19)+(G24))+(G29))+(G34))+(G39))+(G44))+(G49))+(G54))+(G59))+(G64))+(G71))+(G76))+(G81))+(G86))+(G91))+(G96))+(G100))+(G105))+(G110))+(G115))+(G121)</f>
        <v>32207.31</v>
      </c>
      <c r="H122" s="7">
        <f t="shared" si="102"/>
        <v>-9288.3800000000047</v>
      </c>
      <c r="I122" s="8">
        <f t="shared" si="103"/>
        <v>0.71160646449517195</v>
      </c>
      <c r="J122" s="7">
        <f>((((((((((((((((((((J19)+(J24))+(J29))+(J34))+(J39))+(J44))+(J49))+(J54))+(J59))+(J64))+(J71))+(J76))+(J81))+(J86))+(J91))+(J96))+(J100))+(J105))+(J110))+(J115))+(J121)</f>
        <v>31676.850000000006</v>
      </c>
      <c r="K122" s="7">
        <f>((((((((((((((((((((K19)+(K24))+(K29))+(K34))+(K39))+(K44))+(K49))+(K54))+(K59))+(K64))+(K71))+(K76))+(K81))+(K86))+(K91))+(K96))+(K100))+(K105))+(K110))+(K115))+(K121)</f>
        <v>32207.31</v>
      </c>
      <c r="L122" s="7">
        <f t="shared" si="104"/>
        <v>-530.45999999999549</v>
      </c>
      <c r="M122" s="8">
        <f t="shared" si="105"/>
        <v>0.98352982599291916</v>
      </c>
      <c r="N122" s="7">
        <f>((((((((((((((((((((N19)+(N24))+(N29))+(N34))+(N39))+(N44))+(N49))+(N54))+(N59))+(N64))+(N71))+(N76))+(N81))+(N86))+(N91))+(N96))+(N100))+(N105))+(N110))+(N115))+(N121)</f>
        <v>39376.97</v>
      </c>
      <c r="O122" s="7">
        <f>((((((((((((((((((((O19)+(O24))+(O29))+(O34))+(O39))+(O44))+(O49))+(O54))+(O59))+(O64))+(O71))+(O76))+(O81))+(O86))+(O91))+(O96))+(O100))+(O105))+(O110))+(O115))+(O121)</f>
        <v>32207.31</v>
      </c>
      <c r="P122" s="7">
        <f t="shared" si="106"/>
        <v>7169.66</v>
      </c>
      <c r="Q122" s="8">
        <f t="shared" si="107"/>
        <v>1.2226097118945978</v>
      </c>
      <c r="R122" s="7">
        <f>((((((((((((((((((((R19)+(R24))+(R29))+(R34))+(R39))+(R44))+(R49))+(R54))+(R59))+(R64))+(R71))+(R76))+(R81))+(R86))+(R91))+(R96))+(R100))+(R105))+(R110))+(R115))+(R121)</f>
        <v>26179.800000000003</v>
      </c>
      <c r="S122" s="7">
        <f>((((((((((((((((((((S19)+(S24))+(S29))+(S34))+(S39))+(S44))+(S49))+(S54))+(S59))+(S64))+(S71))+(S76))+(S81))+(S86))+(S91))+(S96))+(S100))+(S105))+(S110))+(S115))+(S121)</f>
        <v>32207.31</v>
      </c>
      <c r="T122" s="7">
        <f t="shared" si="108"/>
        <v>-6027.5099999999984</v>
      </c>
      <c r="U122" s="8">
        <f t="shared" si="109"/>
        <v>0.81285273436372063</v>
      </c>
      <c r="V122" s="7">
        <f>((((((((((((((((((((V19)+(V24))+(V29))+(V34))+(V39))+(V44))+(V49))+(V54))+(V59))+(V64))+(V71))+(V76))+(V81))+(V86))+(V91))+(V96))+(V100))+(V105))+(V110))+(V115))+(V121)</f>
        <v>41523.419999999991</v>
      </c>
      <c r="W122" s="7">
        <f>((((((((((((((((((((W19)+(W24))+(W29))+(W34))+(W39))+(W44))+(W49))+(W54))+(W59))+(W64))+(W71))+(W76))+(W81))+(W86))+(W91))+(W96))+(W100))+(W105))+(W110))+(W115))+(W121)</f>
        <v>32207.31</v>
      </c>
      <c r="X122" s="7">
        <f t="shared" si="110"/>
        <v>9316.1099999999897</v>
      </c>
      <c r="Y122" s="8">
        <f t="shared" si="111"/>
        <v>1.2892545201694892</v>
      </c>
      <c r="Z122" s="7">
        <f>((((((((((((((((((((Z19)+(Z24))+(Z29))+(Z34))+(Z39))+(Z44))+(Z49))+(Z54))+(Z59))+(Z64))+(Z71))+(Z76))+(Z81))+(Z86))+(Z91))+(Z96))+(Z100))+(Z105))+(Z110))+(Z115))+(Z121)</f>
        <v>27432.94</v>
      </c>
      <c r="AA122" s="7">
        <f>((((((((((((((((((((AA19)+(AA24))+(AA29))+(AA34))+(AA39))+(AA44))+(AA49))+(AA54))+(AA59))+(AA64))+(AA71))+(AA76))+(AA81))+(AA86))+(AA91))+(AA96))+(AA100))+(AA105))+(AA110))+(AA115))+(AA121)</f>
        <v>32207.31</v>
      </c>
      <c r="AB122" s="7">
        <f t="shared" si="112"/>
        <v>-4774.3700000000026</v>
      </c>
      <c r="AC122" s="8">
        <f t="shared" si="113"/>
        <v>0.85176129270032164</v>
      </c>
      <c r="AD122" s="7">
        <f>((((((((((((((((((((AD19)+(AD24))+(AD29))+(AD34))+(AD39))+(AD44))+(AD49))+(AD54))+(AD59))+(AD64))+(AD71))+(AD76))+(AD81))+(AD86))+(AD91))+(AD96))+(AD100))+(AD105))+(AD110))+(AD115))+(AD121)</f>
        <v>28116.880000000001</v>
      </c>
      <c r="AE122" s="7">
        <f>((((((((((((((((((((AE19)+(AE24))+(AE29))+(AE34))+(AE39))+(AE44))+(AE49))+(AE54))+(AE59))+(AE64))+(AE71))+(AE76))+(AE81))+(AE86))+(AE91))+(AE96))+(AE100))+(AE105))+(AE110))+(AE115))+(AE121)</f>
        <v>32207.31</v>
      </c>
      <c r="AF122" s="7">
        <f t="shared" si="114"/>
        <v>-4090.4300000000003</v>
      </c>
      <c r="AG122" s="8">
        <f t="shared" si="115"/>
        <v>0.87299684450517601</v>
      </c>
      <c r="AH122" s="7">
        <f>((((((((((((((((((((AH19)+(AH24))+(AH29))+(AH34))+(AH39))+(AH44))+(AH49))+(AH54))+(AH59))+(AH64))+(AH71))+(AH76))+(AH81))+(AH86))+(AH91))+(AH96))+(AH100))+(AH105))+(AH110))+(AH115))+(AH121)</f>
        <v>34487.050000000003</v>
      </c>
      <c r="AI122" s="7">
        <f>((((((((((((((((((((AI19)+(AI24))+(AI29))+(AI34))+(AI39))+(AI44))+(AI49))+(AI54))+(AI59))+(AI64))+(AI71))+(AI76))+(AI81))+(AI86))+(AI91))+(AI96))+(AI100))+(AI105))+(AI110))+(AI115))+(AI121)</f>
        <v>32207.31</v>
      </c>
      <c r="AJ122" s="7">
        <f t="shared" si="116"/>
        <v>2279.7400000000016</v>
      </c>
      <c r="AK122" s="8">
        <f t="shared" si="117"/>
        <v>1.0707833097517303</v>
      </c>
      <c r="AL122" s="7">
        <f>((((((((((((((((((((AL19)+(AL24))+(AL29))+(AL34))+(AL39))+(AL44))+(AL49))+(AL54))+(AL59))+(AL64))+(AL71))+(AL76))+(AL81))+(AL86))+(AL91))+(AL96))+(AL100))+(AL105))+(AL110))+(AL115))+(AL121)</f>
        <v>28109.37</v>
      </c>
      <c r="AM122" s="7">
        <f>((((((((((((((((((((AM19)+(AM24))+(AM29))+(AM34))+(AM39))+(AM44))+(AM49))+(AM54))+(AM59))+(AM64))+(AM71))+(AM76))+(AM81))+(AM86))+(AM91))+(AM96))+(AM100))+(AM105))+(AM110))+(AM115))+(AM121)</f>
        <v>32207.31</v>
      </c>
      <c r="AN122" s="7">
        <f t="shared" si="118"/>
        <v>-4097.9400000000023</v>
      </c>
      <c r="AO122" s="7">
        <f>((((((((((((((((((((AO19)+(AO24))+(AO29))+(AO34))+(AO39))+(AO44))+(AO49))+(AO54))+(AO59))+(AO64))+(AO71))+(AO76))+(AO81))+(AO86))+(AO91))+(AO96))+(AO100))+(AO105))+(AO110))+(AO115))+(AO121)</f>
        <v>0</v>
      </c>
      <c r="AP122" s="7">
        <f>((((((((((((((((((((AP19)+(AP24))+(AP29))+(AP34))+(AP39))+(AP44))+(AP49))+(AP54))+(AP59))+(AP64))+(AP71))+(AP76))+(AP81))+(AP86))+(AP91))+(AP96))+(AP100))+(AP105))+(AP110))+(AP115))+(AP121)</f>
        <v>32207.31</v>
      </c>
      <c r="AQ122" s="7">
        <f t="shared" si="119"/>
        <v>-32207.31</v>
      </c>
      <c r="AR122" s="7">
        <f>((((((((((((((((((((AR19)+(AR24))+(AR29))+(AR34))+(AR39))+(AR44))+(AR49))+(AR54))+(AR59))+(AR64))+(AR71))+(AR76))+(AR81))+(AR86))+(AR91))+(AR96))+(AR100))+(AR105))+(AR110))+(AR115))+(AR121)</f>
        <v>0</v>
      </c>
      <c r="AS122" s="7">
        <f>((((((((((((((((((((AS19)+(AS24))+(AS29))+(AS34))+(AS39))+(AS44))+(AS49))+(AS54))+(AS59))+(AS64))+(AS71))+(AS76))+(AS81))+(AS86))+(AS91))+(AS96))+(AS100))+(AS105))+(AS110))+(AS115))+(AS121)</f>
        <v>32207.590000000004</v>
      </c>
      <c r="AT122" s="7">
        <f t="shared" si="120"/>
        <v>-32207.590000000004</v>
      </c>
      <c r="AU122" s="27">
        <f>(((((((((((B122)+(F122))+(J122))+(N122))+(R122))+(V122))+(Z122))+(AD122))+(AH122))+(AL122))+(AO122))+(AR122)</f>
        <v>300679.45999999996</v>
      </c>
      <c r="AV122" s="28">
        <f>(((((((((((C122)+(G122))+(K122))+(O122))+(S122))+(W122))+(AA122))+(AE122))+(AI122))+(AM122))+(AP122))+(AS122)</f>
        <v>386488.00000000006</v>
      </c>
      <c r="AW122" s="29">
        <f>(((((((((((C122)+(G122))+(K122))+(O122))+(S122))+(W122))+(AA122))+(AE122))+(AI122))+(AM122))+(AP122))+(AS122)</f>
        <v>386488.00000000006</v>
      </c>
      <c r="AX122" s="16">
        <f t="shared" si="121"/>
        <v>-85808.540000000095</v>
      </c>
      <c r="AY122" s="27"/>
      <c r="AZ122" s="37"/>
      <c r="BA122" s="38"/>
      <c r="BB122" s="29">
        <f>BB121+BB115+BB110+BB105+BB100+BB96+BB91+BB86+BB81+BB76+BB71+BB64+BB59+BB54+BB49+BB44+BB39+BB34+BB29+BB24+BB19</f>
        <v>385765.19249599997</v>
      </c>
    </row>
    <row r="123" spans="1:54" hidden="1" x14ac:dyDescent="0.25">
      <c r="A123" s="3" t="s">
        <v>129</v>
      </c>
      <c r="B123" s="7">
        <f>(B13)-(B122)</f>
        <v>0</v>
      </c>
      <c r="C123" s="7">
        <f>(C13)-(C122)</f>
        <v>1666.6699999999946</v>
      </c>
      <c r="D123" s="7">
        <f t="shared" si="100"/>
        <v>-1666.6699999999946</v>
      </c>
      <c r="E123" s="8">
        <f t="shared" si="101"/>
        <v>0</v>
      </c>
      <c r="F123" s="7">
        <f>(F13)-(F122)</f>
        <v>324.94000000000597</v>
      </c>
      <c r="G123" s="7">
        <f>(G13)-(G122)</f>
        <v>1666.6699999999946</v>
      </c>
      <c r="H123" s="7">
        <f t="shared" si="102"/>
        <v>-1341.7299999999886</v>
      </c>
      <c r="I123" s="8">
        <f t="shared" si="103"/>
        <v>0.19496361007278407</v>
      </c>
      <c r="J123" s="7">
        <f>(J13)-(J122)</f>
        <v>1190.4599999999919</v>
      </c>
      <c r="K123" s="7">
        <f>(K13)-(K122)</f>
        <v>1666.6699999999946</v>
      </c>
      <c r="L123" s="7">
        <f t="shared" si="104"/>
        <v>-476.21000000000276</v>
      </c>
      <c r="M123" s="8">
        <f t="shared" si="105"/>
        <v>0.71427457145085449</v>
      </c>
      <c r="N123" s="7">
        <f>(N13)-(N122)</f>
        <v>146</v>
      </c>
      <c r="O123" s="7">
        <f>(O13)-(O122)</f>
        <v>1666.6699999999946</v>
      </c>
      <c r="P123" s="7">
        <f t="shared" si="106"/>
        <v>-1520.6699999999946</v>
      </c>
      <c r="Q123" s="8">
        <f t="shared" si="107"/>
        <v>8.7599824800350681E-2</v>
      </c>
      <c r="R123" s="7">
        <f>(R13)-(R122)</f>
        <v>-32.830000000001746</v>
      </c>
      <c r="S123" s="7">
        <f>(S13)-(S122)</f>
        <v>1666.6699999999946</v>
      </c>
      <c r="T123" s="7">
        <f t="shared" si="108"/>
        <v>-1699.4999999999964</v>
      </c>
      <c r="U123" s="8">
        <f t="shared" si="109"/>
        <v>-1.9697960604079905E-2</v>
      </c>
      <c r="V123" s="7">
        <f>(V13)-(V122)</f>
        <v>-1871.5899999999892</v>
      </c>
      <c r="W123" s="7">
        <f>(W13)-(W122)</f>
        <v>1666.6699999999946</v>
      </c>
      <c r="X123" s="7">
        <f t="shared" si="110"/>
        <v>-3538.2599999999838</v>
      </c>
      <c r="Y123" s="8">
        <f t="shared" si="111"/>
        <v>-1.1229517540964891</v>
      </c>
      <c r="Z123" s="7">
        <f>(Z13)-(Z122)</f>
        <v>2.0000000000436557E-2</v>
      </c>
      <c r="AA123" s="7">
        <f>(AA13)-(AA122)</f>
        <v>1666.6699999999946</v>
      </c>
      <c r="AB123" s="7">
        <f t="shared" si="112"/>
        <v>-1666.6499999999942</v>
      </c>
      <c r="AC123" s="8">
        <f t="shared" si="113"/>
        <v>1.1999976000309973E-5</v>
      </c>
      <c r="AD123" s="7">
        <f>(AD13)-(AD122)</f>
        <v>-117.95000000000073</v>
      </c>
      <c r="AE123" s="7">
        <f>(AE13)-(AE122)</f>
        <v>1666.6699999999946</v>
      </c>
      <c r="AF123" s="7">
        <f t="shared" si="114"/>
        <v>-1784.6199999999953</v>
      </c>
      <c r="AG123" s="8">
        <f t="shared" si="115"/>
        <v>-7.0769858460283747E-2</v>
      </c>
      <c r="AH123" s="7">
        <f>(AH13)-(AH122)</f>
        <v>103.11999999999534</v>
      </c>
      <c r="AI123" s="7">
        <f>(AI13)-(AI122)</f>
        <v>1666.6599999999999</v>
      </c>
      <c r="AJ123" s="7">
        <f t="shared" si="116"/>
        <v>-1563.5400000000045</v>
      </c>
      <c r="AK123" s="8">
        <f t="shared" si="117"/>
        <v>6.1872247488987168E-2</v>
      </c>
      <c r="AL123" s="7">
        <f>(AL13)-(AL122)</f>
        <v>-2273.2499999999964</v>
      </c>
      <c r="AM123" s="7">
        <f>(AM13)-(AM122)</f>
        <v>1666.6599999999999</v>
      </c>
      <c r="AN123" s="7">
        <f t="shared" si="118"/>
        <v>-3939.9099999999962</v>
      </c>
      <c r="AO123" s="7">
        <f>(AO13)-(AO122)</f>
        <v>0</v>
      </c>
      <c r="AP123" s="7">
        <f>(AP13)-(AP122)</f>
        <v>1666.6599999999999</v>
      </c>
      <c r="AQ123" s="7">
        <f t="shared" si="119"/>
        <v>-1666.6599999999999</v>
      </c>
      <c r="AR123" s="7">
        <f>(AR13)-(AR122)</f>
        <v>0</v>
      </c>
      <c r="AS123" s="7">
        <f>(AS13)-(AS122)</f>
        <v>1666.6599999999962</v>
      </c>
      <c r="AT123" s="7">
        <f t="shared" si="120"/>
        <v>-1666.6599999999962</v>
      </c>
      <c r="AU123" s="17">
        <f>(((((((((((B123)+(F123))+(J123))+(N123))+(R123))+(V123))+(Z123))+(AD123))+(AH123))+(AL123))+(AO123))+(AR123)</f>
        <v>-2531.0799999999945</v>
      </c>
      <c r="AV123" s="17">
        <f>(((((((((((C123)+(G123))+(K123))+(O123))+(S123))+(W123))+(AA123))+(AE123))+(AI123))+(AM123))+(AP123))+(AS123)</f>
        <v>19999.999999999953</v>
      </c>
      <c r="AW123" s="17">
        <f>(((((((((((C123)+(G123))+(K123))+(O123))+(S123))+(W123))+(AA123))+(AE123))+(AI123))+(AM123))+(AP123))+(AS123)</f>
        <v>19999.999999999953</v>
      </c>
      <c r="AX123" s="15">
        <f t="shared" si="121"/>
        <v>-22531.079999999947</v>
      </c>
      <c r="AY123" s="13"/>
      <c r="AZ123" s="13"/>
      <c r="BA123" s="13"/>
      <c r="BB123" s="13"/>
    </row>
    <row r="124" spans="1:54" hidden="1" x14ac:dyDescent="0.25">
      <c r="A124" s="3" t="s">
        <v>130</v>
      </c>
      <c r="B124" s="9">
        <f>(B123)+(0)</f>
        <v>0</v>
      </c>
      <c r="C124" s="9">
        <f>(C123)+(0)</f>
        <v>1666.6699999999946</v>
      </c>
      <c r="D124" s="9">
        <f t="shared" si="100"/>
        <v>-1666.6699999999946</v>
      </c>
      <c r="E124" s="10">
        <f t="shared" si="101"/>
        <v>0</v>
      </c>
      <c r="F124" s="9">
        <f>(F123)+(0)</f>
        <v>324.94000000000597</v>
      </c>
      <c r="G124" s="9">
        <f>(G123)+(0)</f>
        <v>1666.6699999999946</v>
      </c>
      <c r="H124" s="9">
        <f t="shared" si="102"/>
        <v>-1341.7299999999886</v>
      </c>
      <c r="I124" s="10">
        <f t="shared" si="103"/>
        <v>0.19496361007278407</v>
      </c>
      <c r="J124" s="9">
        <f>(J123)+(0)</f>
        <v>1190.4599999999919</v>
      </c>
      <c r="K124" s="9">
        <f>(K123)+(0)</f>
        <v>1666.6699999999946</v>
      </c>
      <c r="L124" s="9">
        <f t="shared" si="104"/>
        <v>-476.21000000000276</v>
      </c>
      <c r="M124" s="10">
        <f t="shared" si="105"/>
        <v>0.71427457145085449</v>
      </c>
      <c r="N124" s="9">
        <f>(N123)+(0)</f>
        <v>146</v>
      </c>
      <c r="O124" s="9">
        <f>(O123)+(0)</f>
        <v>1666.6699999999946</v>
      </c>
      <c r="P124" s="9">
        <f t="shared" si="106"/>
        <v>-1520.6699999999946</v>
      </c>
      <c r="Q124" s="10">
        <f t="shared" si="107"/>
        <v>8.7599824800350681E-2</v>
      </c>
      <c r="R124" s="9">
        <f>(R123)+(0)</f>
        <v>-32.830000000001746</v>
      </c>
      <c r="S124" s="9">
        <f>(S123)+(0)</f>
        <v>1666.6699999999946</v>
      </c>
      <c r="T124" s="9">
        <f t="shared" si="108"/>
        <v>-1699.4999999999964</v>
      </c>
      <c r="U124" s="10">
        <f t="shared" si="109"/>
        <v>-1.9697960604079905E-2</v>
      </c>
      <c r="V124" s="9">
        <f>(V123)+(0)</f>
        <v>-1871.5899999999892</v>
      </c>
      <c r="W124" s="9">
        <f>(W123)+(0)</f>
        <v>1666.6699999999946</v>
      </c>
      <c r="X124" s="9">
        <f t="shared" si="110"/>
        <v>-3538.2599999999838</v>
      </c>
      <c r="Y124" s="10">
        <f t="shared" si="111"/>
        <v>-1.1229517540964891</v>
      </c>
      <c r="Z124" s="9">
        <f>(Z123)+(0)</f>
        <v>2.0000000000436557E-2</v>
      </c>
      <c r="AA124" s="9">
        <f>(AA123)+(0)</f>
        <v>1666.6699999999946</v>
      </c>
      <c r="AB124" s="9">
        <f t="shared" si="112"/>
        <v>-1666.6499999999942</v>
      </c>
      <c r="AC124" s="10">
        <f t="shared" si="113"/>
        <v>1.1999976000309973E-5</v>
      </c>
      <c r="AD124" s="9">
        <f>(AD123)+(0)</f>
        <v>-117.95000000000073</v>
      </c>
      <c r="AE124" s="9">
        <f>(AE123)+(0)</f>
        <v>1666.6699999999946</v>
      </c>
      <c r="AF124" s="9">
        <f t="shared" si="114"/>
        <v>-1784.6199999999953</v>
      </c>
      <c r="AG124" s="10">
        <f t="shared" si="115"/>
        <v>-7.0769858460283747E-2</v>
      </c>
      <c r="AH124" s="9">
        <f>(AH123)+(0)</f>
        <v>103.11999999999534</v>
      </c>
      <c r="AI124" s="9">
        <f>(AI123)+(0)</f>
        <v>1666.6599999999999</v>
      </c>
      <c r="AJ124" s="9">
        <f t="shared" si="116"/>
        <v>-1563.5400000000045</v>
      </c>
      <c r="AK124" s="10">
        <f t="shared" si="117"/>
        <v>6.1872247488987168E-2</v>
      </c>
      <c r="AL124" s="9">
        <f>(AL123)+(0)</f>
        <v>-2273.2499999999964</v>
      </c>
      <c r="AM124" s="9">
        <f>(AM123)+(0)</f>
        <v>1666.6599999999999</v>
      </c>
      <c r="AN124" s="9">
        <f t="shared" si="118"/>
        <v>-3939.9099999999962</v>
      </c>
      <c r="AO124" s="9">
        <f>(AO123)+(0)</f>
        <v>0</v>
      </c>
      <c r="AP124" s="9">
        <f>(AP123)+(0)</f>
        <v>1666.6599999999999</v>
      </c>
      <c r="AQ124" s="9">
        <f t="shared" si="119"/>
        <v>-1666.6599999999999</v>
      </c>
      <c r="AR124" s="9">
        <f>(AR123)+(0)</f>
        <v>0</v>
      </c>
      <c r="AS124" s="9">
        <f>(AS123)+(0)</f>
        <v>1666.6599999999962</v>
      </c>
      <c r="AT124" s="9">
        <f t="shared" si="120"/>
        <v>-1666.6599999999962</v>
      </c>
      <c r="AU124" s="16">
        <f>(((((((((((B124)+(F124))+(J124))+(N124))+(R124))+(V124))+(Z124))+(AD124))+(AH124))+(AL124))+(AO124))+(AR124)</f>
        <v>-2531.0799999999945</v>
      </c>
      <c r="AV124" s="16"/>
      <c r="AW124" s="16">
        <f>(((((((((((C124)+(G124))+(K124))+(O124))+(S124))+(W124))+(AA124))+(AE124))+(AI124))+(AM124))+(AP124))+(AS124)</f>
        <v>19999.999999999953</v>
      </c>
      <c r="AX124" s="16">
        <f t="shared" si="121"/>
        <v>-22531.079999999947</v>
      </c>
      <c r="AY124" s="13"/>
      <c r="AZ124" s="13"/>
      <c r="BA124" s="13"/>
      <c r="BB124" s="13"/>
    </row>
    <row r="125" spans="1:54" hidden="1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</sheetData>
  <mergeCells count="16">
    <mergeCell ref="AO5:AQ5"/>
    <mergeCell ref="AR5:AT5"/>
    <mergeCell ref="AU5:AX5"/>
    <mergeCell ref="A1:BB1"/>
    <mergeCell ref="A2:BB2"/>
    <mergeCell ref="A3:BB3"/>
    <mergeCell ref="V5:Y5"/>
    <mergeCell ref="Z5:AC5"/>
    <mergeCell ref="AD5:AG5"/>
    <mergeCell ref="AH5:AK5"/>
    <mergeCell ref="AL5:AN5"/>
    <mergeCell ref="B5:E5"/>
    <mergeCell ref="F5:I5"/>
    <mergeCell ref="J5:M5"/>
    <mergeCell ref="N5:Q5"/>
    <mergeCell ref="R5:U5"/>
  </mergeCells>
  <pageMargins left="0.2" right="0.2" top="0.25" bottom="0.25" header="0.3" footer="0.3"/>
  <pageSetup scale="95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Tracy Brown</cp:lastModifiedBy>
  <cp:lastPrinted>2023-08-08T11:02:24Z</cp:lastPrinted>
  <dcterms:created xsi:type="dcterms:W3CDTF">2023-08-08T09:26:50Z</dcterms:created>
  <dcterms:modified xsi:type="dcterms:W3CDTF">2023-09-06T19:38:48Z</dcterms:modified>
</cp:coreProperties>
</file>