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k\OneDrive\Documents\"/>
    </mc:Choice>
  </mc:AlternateContent>
  <xr:revisionPtr revIDLastSave="0" documentId="13_ncr:1_{9B014214-D283-4217-8BEB-911E4ED203D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udget vs. Actuals" sheetId="1" r:id="rId1"/>
  </sheets>
  <definedNames>
    <definedName name="_xlnm.Print_Titles" localSheetId="0">'Budget vs. Actuals'!$5:$6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2" i="1" l="1"/>
  <c r="R112" i="1"/>
  <c r="T112" i="1" s="1"/>
  <c r="G112" i="1"/>
  <c r="I112" i="1" s="1"/>
  <c r="F112" i="1"/>
  <c r="H112" i="1" s="1"/>
  <c r="W111" i="1"/>
  <c r="Y111" i="1" s="1"/>
  <c r="U111" i="1"/>
  <c r="R111" i="1"/>
  <c r="T111" i="1" s="1"/>
  <c r="Q111" i="1"/>
  <c r="P111" i="1"/>
  <c r="N111" i="1"/>
  <c r="M111" i="1"/>
  <c r="L111" i="1"/>
  <c r="J111" i="1"/>
  <c r="I111" i="1"/>
  <c r="H111" i="1"/>
  <c r="F111" i="1"/>
  <c r="E111" i="1"/>
  <c r="B111" i="1"/>
  <c r="S110" i="1"/>
  <c r="R110" i="1"/>
  <c r="T110" i="1" s="1"/>
  <c r="O110" i="1"/>
  <c r="Q110" i="1" s="1"/>
  <c r="N110" i="1"/>
  <c r="P110" i="1" s="1"/>
  <c r="K110" i="1"/>
  <c r="W110" i="1" s="1"/>
  <c r="J110" i="1"/>
  <c r="G110" i="1"/>
  <c r="F110" i="1"/>
  <c r="H110" i="1" s="1"/>
  <c r="C110" i="1"/>
  <c r="B110" i="1"/>
  <c r="S109" i="1"/>
  <c r="R109" i="1"/>
  <c r="T109" i="1" s="1"/>
  <c r="O109" i="1"/>
  <c r="N109" i="1"/>
  <c r="M109" i="1"/>
  <c r="K109" i="1"/>
  <c r="J109" i="1"/>
  <c r="J112" i="1" s="1"/>
  <c r="G109" i="1"/>
  <c r="F109" i="1"/>
  <c r="H109" i="1" s="1"/>
  <c r="C109" i="1"/>
  <c r="B109" i="1"/>
  <c r="W108" i="1"/>
  <c r="Y108" i="1" s="1"/>
  <c r="V108" i="1"/>
  <c r="U108" i="1"/>
  <c r="T108" i="1"/>
  <c r="Q108" i="1"/>
  <c r="P108" i="1"/>
  <c r="M108" i="1"/>
  <c r="L108" i="1"/>
  <c r="I108" i="1"/>
  <c r="H108" i="1"/>
  <c r="E108" i="1"/>
  <c r="D108" i="1"/>
  <c r="R107" i="1"/>
  <c r="T107" i="1" s="1"/>
  <c r="O107" i="1"/>
  <c r="F107" i="1"/>
  <c r="H107" i="1" s="1"/>
  <c r="C107" i="1"/>
  <c r="B107" i="1"/>
  <c r="Y106" i="1"/>
  <c r="W106" i="1"/>
  <c r="U106" i="1"/>
  <c r="T106" i="1"/>
  <c r="R106" i="1"/>
  <c r="Q106" i="1"/>
  <c r="N106" i="1"/>
  <c r="N107" i="1" s="1"/>
  <c r="M106" i="1"/>
  <c r="J106" i="1"/>
  <c r="L106" i="1" s="1"/>
  <c r="I106" i="1"/>
  <c r="H106" i="1"/>
  <c r="F106" i="1"/>
  <c r="E106" i="1"/>
  <c r="D106" i="1"/>
  <c r="B106" i="1"/>
  <c r="W105" i="1"/>
  <c r="Y105" i="1" s="1"/>
  <c r="V105" i="1"/>
  <c r="X105" i="1" s="1"/>
  <c r="U105" i="1"/>
  <c r="T105" i="1"/>
  <c r="S105" i="1"/>
  <c r="R105" i="1"/>
  <c r="O105" i="1"/>
  <c r="Q105" i="1" s="1"/>
  <c r="N105" i="1"/>
  <c r="K105" i="1"/>
  <c r="M105" i="1" s="1"/>
  <c r="J105" i="1"/>
  <c r="L105" i="1" s="1"/>
  <c r="I105" i="1"/>
  <c r="H105" i="1"/>
  <c r="G105" i="1"/>
  <c r="F105" i="1"/>
  <c r="C105" i="1"/>
  <c r="E105" i="1" s="1"/>
  <c r="B105" i="1"/>
  <c r="U104" i="1"/>
  <c r="T104" i="1"/>
  <c r="S104" i="1"/>
  <c r="S107" i="1" s="1"/>
  <c r="R104" i="1"/>
  <c r="O104" i="1"/>
  <c r="Q104" i="1" s="1"/>
  <c r="N104" i="1"/>
  <c r="M104" i="1"/>
  <c r="L104" i="1"/>
  <c r="K104" i="1"/>
  <c r="J104" i="1"/>
  <c r="V104" i="1" s="1"/>
  <c r="I104" i="1"/>
  <c r="H104" i="1"/>
  <c r="G104" i="1"/>
  <c r="G107" i="1" s="1"/>
  <c r="F104" i="1"/>
  <c r="C104" i="1"/>
  <c r="E104" i="1" s="1"/>
  <c r="B104" i="1"/>
  <c r="W103" i="1"/>
  <c r="Y103" i="1" s="1"/>
  <c r="V103" i="1"/>
  <c r="X103" i="1" s="1"/>
  <c r="U103" i="1"/>
  <c r="T103" i="1"/>
  <c r="Q103" i="1"/>
  <c r="P103" i="1"/>
  <c r="M103" i="1"/>
  <c r="L103" i="1"/>
  <c r="I103" i="1"/>
  <c r="H103" i="1"/>
  <c r="E103" i="1"/>
  <c r="D103" i="1"/>
  <c r="J102" i="1"/>
  <c r="F102" i="1"/>
  <c r="C102" i="1"/>
  <c r="B102" i="1"/>
  <c r="Y101" i="1"/>
  <c r="W101" i="1"/>
  <c r="V101" i="1"/>
  <c r="X101" i="1" s="1"/>
  <c r="U101" i="1"/>
  <c r="T101" i="1"/>
  <c r="R101" i="1"/>
  <c r="Q101" i="1"/>
  <c r="P101" i="1"/>
  <c r="N101" i="1"/>
  <c r="M101" i="1"/>
  <c r="L101" i="1"/>
  <c r="I101" i="1"/>
  <c r="H101" i="1"/>
  <c r="E101" i="1"/>
  <c r="D101" i="1"/>
  <c r="S100" i="1"/>
  <c r="U100" i="1" s="1"/>
  <c r="R100" i="1"/>
  <c r="O100" i="1"/>
  <c r="Q100" i="1" s="1"/>
  <c r="N100" i="1"/>
  <c r="M100" i="1"/>
  <c r="L100" i="1"/>
  <c r="K100" i="1"/>
  <c r="I100" i="1"/>
  <c r="H100" i="1"/>
  <c r="G100" i="1"/>
  <c r="E100" i="1"/>
  <c r="C100" i="1"/>
  <c r="X99" i="1"/>
  <c r="W99" i="1"/>
  <c r="Y99" i="1" s="1"/>
  <c r="S99" i="1"/>
  <c r="S102" i="1" s="1"/>
  <c r="R99" i="1"/>
  <c r="O99" i="1"/>
  <c r="N99" i="1"/>
  <c r="V99" i="1" s="1"/>
  <c r="L99" i="1"/>
  <c r="K99" i="1"/>
  <c r="M99" i="1" s="1"/>
  <c r="I99" i="1"/>
  <c r="H99" i="1"/>
  <c r="G99" i="1"/>
  <c r="G102" i="1" s="1"/>
  <c r="I102" i="1" s="1"/>
  <c r="E99" i="1"/>
  <c r="D99" i="1"/>
  <c r="C99" i="1"/>
  <c r="W98" i="1"/>
  <c r="Y98" i="1" s="1"/>
  <c r="V98" i="1"/>
  <c r="X98" i="1" s="1"/>
  <c r="U98" i="1"/>
  <c r="T98" i="1"/>
  <c r="Q98" i="1"/>
  <c r="P98" i="1"/>
  <c r="M98" i="1"/>
  <c r="L98" i="1"/>
  <c r="I98" i="1"/>
  <c r="H98" i="1"/>
  <c r="E98" i="1"/>
  <c r="D98" i="1"/>
  <c r="N97" i="1"/>
  <c r="K97" i="1"/>
  <c r="F97" i="1"/>
  <c r="B97" i="1"/>
  <c r="W96" i="1"/>
  <c r="Y96" i="1" s="1"/>
  <c r="V96" i="1"/>
  <c r="X96" i="1" s="1"/>
  <c r="U96" i="1"/>
  <c r="T96" i="1"/>
  <c r="R96" i="1"/>
  <c r="Q96" i="1"/>
  <c r="P96" i="1"/>
  <c r="N96" i="1"/>
  <c r="M96" i="1"/>
  <c r="L96" i="1"/>
  <c r="J96" i="1"/>
  <c r="I96" i="1"/>
  <c r="H96" i="1"/>
  <c r="E96" i="1"/>
  <c r="D96" i="1"/>
  <c r="V95" i="1"/>
  <c r="T95" i="1"/>
  <c r="S95" i="1"/>
  <c r="U95" i="1" s="1"/>
  <c r="R95" i="1"/>
  <c r="O95" i="1"/>
  <c r="Q95" i="1" s="1"/>
  <c r="N95" i="1"/>
  <c r="K95" i="1"/>
  <c r="J95" i="1"/>
  <c r="L95" i="1" s="1"/>
  <c r="G95" i="1"/>
  <c r="I95" i="1" s="1"/>
  <c r="E95" i="1"/>
  <c r="D95" i="1"/>
  <c r="C95" i="1"/>
  <c r="S94" i="1"/>
  <c r="S97" i="1" s="1"/>
  <c r="R94" i="1"/>
  <c r="O94" i="1"/>
  <c r="Q94" i="1" s="1"/>
  <c r="N94" i="1"/>
  <c r="P94" i="1" s="1"/>
  <c r="M94" i="1"/>
  <c r="K94" i="1"/>
  <c r="L94" i="1" s="1"/>
  <c r="J94" i="1"/>
  <c r="I94" i="1"/>
  <c r="H94" i="1"/>
  <c r="G94" i="1"/>
  <c r="E94" i="1"/>
  <c r="D94" i="1"/>
  <c r="C94" i="1"/>
  <c r="W93" i="1"/>
  <c r="V93" i="1"/>
  <c r="U93" i="1"/>
  <c r="T93" i="1"/>
  <c r="Q93" i="1"/>
  <c r="P93" i="1"/>
  <c r="M93" i="1"/>
  <c r="L93" i="1"/>
  <c r="I93" i="1"/>
  <c r="H93" i="1"/>
  <c r="E93" i="1"/>
  <c r="D93" i="1"/>
  <c r="R92" i="1"/>
  <c r="N92" i="1"/>
  <c r="J92" i="1"/>
  <c r="F92" i="1"/>
  <c r="H92" i="1" s="1"/>
  <c r="C92" i="1"/>
  <c r="B92" i="1"/>
  <c r="V91" i="1"/>
  <c r="U91" i="1"/>
  <c r="T91" i="1"/>
  <c r="S91" i="1"/>
  <c r="Q91" i="1"/>
  <c r="P91" i="1"/>
  <c r="O91" i="1"/>
  <c r="O92" i="1" s="1"/>
  <c r="Q92" i="1" s="1"/>
  <c r="K91" i="1"/>
  <c r="I91" i="1"/>
  <c r="H91" i="1"/>
  <c r="G91" i="1"/>
  <c r="E91" i="1"/>
  <c r="D91" i="1"/>
  <c r="C91" i="1"/>
  <c r="V90" i="1"/>
  <c r="U90" i="1"/>
  <c r="T90" i="1"/>
  <c r="S90" i="1"/>
  <c r="S92" i="1" s="1"/>
  <c r="U92" i="1" s="1"/>
  <c r="O90" i="1"/>
  <c r="P90" i="1" s="1"/>
  <c r="K90" i="1"/>
  <c r="G90" i="1"/>
  <c r="G92" i="1" s="1"/>
  <c r="I92" i="1" s="1"/>
  <c r="E90" i="1"/>
  <c r="D90" i="1"/>
  <c r="C90" i="1"/>
  <c r="W89" i="1"/>
  <c r="Y89" i="1" s="1"/>
  <c r="V89" i="1"/>
  <c r="X89" i="1" s="1"/>
  <c r="U89" i="1"/>
  <c r="T89" i="1"/>
  <c r="Q89" i="1"/>
  <c r="P89" i="1"/>
  <c r="M89" i="1"/>
  <c r="L89" i="1"/>
  <c r="I89" i="1"/>
  <c r="H89" i="1"/>
  <c r="E89" i="1"/>
  <c r="D89" i="1"/>
  <c r="G88" i="1"/>
  <c r="I88" i="1" s="1"/>
  <c r="F88" i="1"/>
  <c r="H88" i="1" s="1"/>
  <c r="Y87" i="1"/>
  <c r="W87" i="1"/>
  <c r="U87" i="1"/>
  <c r="R87" i="1"/>
  <c r="R88" i="1" s="1"/>
  <c r="Q87" i="1"/>
  <c r="P87" i="1"/>
  <c r="N87" i="1"/>
  <c r="M87" i="1"/>
  <c r="J87" i="1"/>
  <c r="I87" i="1"/>
  <c r="F87" i="1"/>
  <c r="H87" i="1" s="1"/>
  <c r="E87" i="1"/>
  <c r="D87" i="1"/>
  <c r="B87" i="1"/>
  <c r="S86" i="1"/>
  <c r="U86" i="1" s="1"/>
  <c r="R86" i="1"/>
  <c r="O86" i="1"/>
  <c r="Q86" i="1" s="1"/>
  <c r="N86" i="1"/>
  <c r="M86" i="1"/>
  <c r="L86" i="1"/>
  <c r="K86" i="1"/>
  <c r="J86" i="1"/>
  <c r="H86" i="1"/>
  <c r="G86" i="1"/>
  <c r="I86" i="1" s="1"/>
  <c r="F86" i="1"/>
  <c r="D86" i="1"/>
  <c r="C86" i="1"/>
  <c r="B86" i="1"/>
  <c r="V86" i="1" s="1"/>
  <c r="T85" i="1"/>
  <c r="S85" i="1"/>
  <c r="U85" i="1" s="1"/>
  <c r="R85" i="1"/>
  <c r="O85" i="1"/>
  <c r="N85" i="1"/>
  <c r="N88" i="1" s="1"/>
  <c r="M85" i="1"/>
  <c r="L85" i="1"/>
  <c r="K85" i="1"/>
  <c r="K88" i="1" s="1"/>
  <c r="J85" i="1"/>
  <c r="G85" i="1"/>
  <c r="I85" i="1" s="1"/>
  <c r="F85" i="1"/>
  <c r="D85" i="1"/>
  <c r="C85" i="1"/>
  <c r="B85" i="1"/>
  <c r="Y84" i="1"/>
  <c r="X84" i="1"/>
  <c r="W84" i="1"/>
  <c r="V84" i="1"/>
  <c r="U84" i="1"/>
  <c r="T84" i="1"/>
  <c r="Q84" i="1"/>
  <c r="P84" i="1"/>
  <c r="M84" i="1"/>
  <c r="L84" i="1"/>
  <c r="I84" i="1"/>
  <c r="H84" i="1"/>
  <c r="E84" i="1"/>
  <c r="D84" i="1"/>
  <c r="O83" i="1"/>
  <c r="Q83" i="1" s="1"/>
  <c r="N83" i="1"/>
  <c r="P83" i="1" s="1"/>
  <c r="J83" i="1"/>
  <c r="L83" i="1" s="1"/>
  <c r="G83" i="1"/>
  <c r="I83" i="1" s="1"/>
  <c r="F83" i="1"/>
  <c r="B83" i="1"/>
  <c r="Y82" i="1"/>
  <c r="W82" i="1"/>
  <c r="U82" i="1"/>
  <c r="R82" i="1"/>
  <c r="T82" i="1" s="1"/>
  <c r="Q82" i="1"/>
  <c r="P82" i="1"/>
  <c r="M82" i="1"/>
  <c r="L82" i="1"/>
  <c r="I82" i="1"/>
  <c r="F82" i="1"/>
  <c r="H82" i="1" s="1"/>
  <c r="E82" i="1"/>
  <c r="D82" i="1"/>
  <c r="V81" i="1"/>
  <c r="S81" i="1"/>
  <c r="Q81" i="1"/>
  <c r="O81" i="1"/>
  <c r="P81" i="1" s="1"/>
  <c r="L81" i="1"/>
  <c r="K81" i="1"/>
  <c r="M81" i="1" s="1"/>
  <c r="H81" i="1"/>
  <c r="G81" i="1"/>
  <c r="I81" i="1" s="1"/>
  <c r="F81" i="1"/>
  <c r="D81" i="1"/>
  <c r="C81" i="1"/>
  <c r="U80" i="1"/>
  <c r="S80" i="1"/>
  <c r="Q80" i="1"/>
  <c r="P80" i="1"/>
  <c r="O80" i="1"/>
  <c r="M80" i="1"/>
  <c r="L80" i="1"/>
  <c r="K80" i="1"/>
  <c r="K83" i="1" s="1"/>
  <c r="G80" i="1"/>
  <c r="F80" i="1"/>
  <c r="H80" i="1" s="1"/>
  <c r="D80" i="1"/>
  <c r="C80" i="1"/>
  <c r="W79" i="1"/>
  <c r="Y79" i="1" s="1"/>
  <c r="V79" i="1"/>
  <c r="X79" i="1" s="1"/>
  <c r="U79" i="1"/>
  <c r="T79" i="1"/>
  <c r="Q79" i="1"/>
  <c r="P79" i="1"/>
  <c r="M79" i="1"/>
  <c r="L79" i="1"/>
  <c r="I79" i="1"/>
  <c r="H79" i="1"/>
  <c r="E79" i="1"/>
  <c r="D79" i="1"/>
  <c r="Y77" i="1"/>
  <c r="W77" i="1"/>
  <c r="U77" i="1"/>
  <c r="R77" i="1"/>
  <c r="T77" i="1" s="1"/>
  <c r="Q77" i="1"/>
  <c r="N77" i="1"/>
  <c r="P77" i="1" s="1"/>
  <c r="M77" i="1"/>
  <c r="L77" i="1"/>
  <c r="J77" i="1"/>
  <c r="I77" i="1"/>
  <c r="F77" i="1"/>
  <c r="H77" i="1" s="1"/>
  <c r="E77" i="1"/>
  <c r="D77" i="1"/>
  <c r="B77" i="1"/>
  <c r="V76" i="1"/>
  <c r="U76" i="1"/>
  <c r="T76" i="1"/>
  <c r="S76" i="1"/>
  <c r="R76" i="1"/>
  <c r="O76" i="1"/>
  <c r="Q76" i="1" s="1"/>
  <c r="N76" i="1"/>
  <c r="P76" i="1" s="1"/>
  <c r="K76" i="1"/>
  <c r="J76" i="1"/>
  <c r="L76" i="1" s="1"/>
  <c r="G76" i="1"/>
  <c r="G78" i="1" s="1"/>
  <c r="I78" i="1" s="1"/>
  <c r="F76" i="1"/>
  <c r="D76" i="1"/>
  <c r="C76" i="1"/>
  <c r="B76" i="1"/>
  <c r="S75" i="1"/>
  <c r="R75" i="1"/>
  <c r="P75" i="1"/>
  <c r="O75" i="1"/>
  <c r="N75" i="1"/>
  <c r="K75" i="1"/>
  <c r="J75" i="1"/>
  <c r="I75" i="1"/>
  <c r="G75" i="1"/>
  <c r="H75" i="1" s="1"/>
  <c r="F75" i="1"/>
  <c r="F78" i="1" s="1"/>
  <c r="D75" i="1"/>
  <c r="C75" i="1"/>
  <c r="B75" i="1"/>
  <c r="W74" i="1"/>
  <c r="Y74" i="1" s="1"/>
  <c r="V74" i="1"/>
  <c r="X74" i="1" s="1"/>
  <c r="U74" i="1"/>
  <c r="T74" i="1"/>
  <c r="Q74" i="1"/>
  <c r="P74" i="1"/>
  <c r="M74" i="1"/>
  <c r="L74" i="1"/>
  <c r="I74" i="1"/>
  <c r="H74" i="1"/>
  <c r="E74" i="1"/>
  <c r="D74" i="1"/>
  <c r="O73" i="1"/>
  <c r="N73" i="1"/>
  <c r="Q73" i="1" s="1"/>
  <c r="C73" i="1"/>
  <c r="B73" i="1"/>
  <c r="X72" i="1"/>
  <c r="W72" i="1"/>
  <c r="Y72" i="1" s="1"/>
  <c r="U72" i="1"/>
  <c r="R72" i="1"/>
  <c r="T72" i="1" s="1"/>
  <c r="Q72" i="1"/>
  <c r="P72" i="1"/>
  <c r="N72" i="1"/>
  <c r="M72" i="1"/>
  <c r="J72" i="1"/>
  <c r="I72" i="1"/>
  <c r="H72" i="1"/>
  <c r="F72" i="1"/>
  <c r="V72" i="1" s="1"/>
  <c r="E72" i="1"/>
  <c r="B72" i="1"/>
  <c r="D72" i="1" s="1"/>
  <c r="W71" i="1"/>
  <c r="S71" i="1"/>
  <c r="R71" i="1"/>
  <c r="Q71" i="1"/>
  <c r="P71" i="1"/>
  <c r="O71" i="1"/>
  <c r="N71" i="1"/>
  <c r="M71" i="1"/>
  <c r="L71" i="1"/>
  <c r="K71" i="1"/>
  <c r="J71" i="1"/>
  <c r="G71" i="1"/>
  <c r="F71" i="1"/>
  <c r="E71" i="1"/>
  <c r="D71" i="1"/>
  <c r="C71" i="1"/>
  <c r="B71" i="1"/>
  <c r="U70" i="1"/>
  <c r="T70" i="1"/>
  <c r="S70" i="1"/>
  <c r="S73" i="1" s="1"/>
  <c r="R70" i="1"/>
  <c r="R73" i="1" s="1"/>
  <c r="T73" i="1" s="1"/>
  <c r="Q70" i="1"/>
  <c r="P70" i="1"/>
  <c r="O70" i="1"/>
  <c r="N70" i="1"/>
  <c r="K70" i="1"/>
  <c r="M70" i="1" s="1"/>
  <c r="J70" i="1"/>
  <c r="I70" i="1"/>
  <c r="H70" i="1"/>
  <c r="G70" i="1"/>
  <c r="G73" i="1" s="1"/>
  <c r="F70" i="1"/>
  <c r="V70" i="1" s="1"/>
  <c r="E70" i="1"/>
  <c r="D70" i="1"/>
  <c r="C70" i="1"/>
  <c r="B70" i="1"/>
  <c r="W69" i="1"/>
  <c r="Y69" i="1" s="1"/>
  <c r="V69" i="1"/>
  <c r="U69" i="1"/>
  <c r="T69" i="1"/>
  <c r="Q69" i="1"/>
  <c r="P69" i="1"/>
  <c r="M69" i="1"/>
  <c r="L69" i="1"/>
  <c r="I69" i="1"/>
  <c r="H69" i="1"/>
  <c r="E69" i="1"/>
  <c r="D69" i="1"/>
  <c r="S68" i="1"/>
  <c r="R68" i="1"/>
  <c r="T68" i="1" s="1"/>
  <c r="N68" i="1"/>
  <c r="K68" i="1"/>
  <c r="G68" i="1"/>
  <c r="W67" i="1"/>
  <c r="Y67" i="1" s="1"/>
  <c r="V67" i="1"/>
  <c r="X67" i="1" s="1"/>
  <c r="U67" i="1"/>
  <c r="T67" i="1"/>
  <c r="R67" i="1"/>
  <c r="Q67" i="1"/>
  <c r="N67" i="1"/>
  <c r="P67" i="1" s="1"/>
  <c r="M67" i="1"/>
  <c r="J67" i="1"/>
  <c r="L67" i="1" s="1"/>
  <c r="I67" i="1"/>
  <c r="H67" i="1"/>
  <c r="F67" i="1"/>
  <c r="E67" i="1"/>
  <c r="D67" i="1"/>
  <c r="B67" i="1"/>
  <c r="T66" i="1"/>
  <c r="S66" i="1"/>
  <c r="R66" i="1"/>
  <c r="U66" i="1" s="1"/>
  <c r="O66" i="1"/>
  <c r="Q66" i="1" s="1"/>
  <c r="N66" i="1"/>
  <c r="P66" i="1" s="1"/>
  <c r="M66" i="1"/>
  <c r="K66" i="1"/>
  <c r="J66" i="1"/>
  <c r="L66" i="1" s="1"/>
  <c r="G66" i="1"/>
  <c r="F66" i="1"/>
  <c r="I66" i="1" s="1"/>
  <c r="C66" i="1"/>
  <c r="B66" i="1"/>
  <c r="V65" i="1"/>
  <c r="X65" i="1" s="1"/>
  <c r="T65" i="1"/>
  <c r="S65" i="1"/>
  <c r="R65" i="1"/>
  <c r="U65" i="1" s="1"/>
  <c r="Q65" i="1"/>
  <c r="O65" i="1"/>
  <c r="N65" i="1"/>
  <c r="P65" i="1" s="1"/>
  <c r="K65" i="1"/>
  <c r="J65" i="1"/>
  <c r="I65" i="1"/>
  <c r="H65" i="1"/>
  <c r="G65" i="1"/>
  <c r="F65" i="1"/>
  <c r="D65" i="1"/>
  <c r="C65" i="1"/>
  <c r="W65" i="1" s="1"/>
  <c r="B65" i="1"/>
  <c r="Y64" i="1"/>
  <c r="W64" i="1"/>
  <c r="V64" i="1"/>
  <c r="X64" i="1" s="1"/>
  <c r="U64" i="1"/>
  <c r="T64" i="1"/>
  <c r="Q64" i="1"/>
  <c r="P64" i="1"/>
  <c r="M64" i="1"/>
  <c r="L64" i="1"/>
  <c r="I64" i="1"/>
  <c r="H64" i="1"/>
  <c r="E64" i="1"/>
  <c r="D64" i="1"/>
  <c r="G63" i="1"/>
  <c r="F63" i="1"/>
  <c r="H63" i="1" s="1"/>
  <c r="W62" i="1"/>
  <c r="Y62" i="1" s="1"/>
  <c r="U62" i="1"/>
  <c r="R62" i="1"/>
  <c r="T62" i="1" s="1"/>
  <c r="Q62" i="1"/>
  <c r="N62" i="1"/>
  <c r="V62" i="1" s="1"/>
  <c r="X62" i="1" s="1"/>
  <c r="M62" i="1"/>
  <c r="J62" i="1"/>
  <c r="L62" i="1" s="1"/>
  <c r="I62" i="1"/>
  <c r="F62" i="1"/>
  <c r="H62" i="1" s="1"/>
  <c r="E62" i="1"/>
  <c r="B62" i="1"/>
  <c r="D62" i="1" s="1"/>
  <c r="S61" i="1"/>
  <c r="U61" i="1" s="1"/>
  <c r="R61" i="1"/>
  <c r="Q61" i="1"/>
  <c r="O61" i="1"/>
  <c r="N61" i="1"/>
  <c r="P61" i="1" s="1"/>
  <c r="M61" i="1"/>
  <c r="K61" i="1"/>
  <c r="K63" i="1" s="1"/>
  <c r="J61" i="1"/>
  <c r="L61" i="1" s="1"/>
  <c r="G61" i="1"/>
  <c r="F61" i="1"/>
  <c r="H61" i="1" s="1"/>
  <c r="C61" i="1"/>
  <c r="W61" i="1" s="1"/>
  <c r="B61" i="1"/>
  <c r="S60" i="1"/>
  <c r="U60" i="1" s="1"/>
  <c r="R60" i="1"/>
  <c r="T60" i="1" s="1"/>
  <c r="O60" i="1"/>
  <c r="N60" i="1"/>
  <c r="M60" i="1"/>
  <c r="L60" i="1"/>
  <c r="K60" i="1"/>
  <c r="J60" i="1"/>
  <c r="G60" i="1"/>
  <c r="F60" i="1"/>
  <c r="H60" i="1" s="1"/>
  <c r="E60" i="1"/>
  <c r="C60" i="1"/>
  <c r="B60" i="1"/>
  <c r="W59" i="1"/>
  <c r="Y59" i="1" s="1"/>
  <c r="V59" i="1"/>
  <c r="X59" i="1" s="1"/>
  <c r="U59" i="1"/>
  <c r="T59" i="1"/>
  <c r="Q59" i="1"/>
  <c r="P59" i="1"/>
  <c r="M59" i="1"/>
  <c r="L59" i="1"/>
  <c r="I59" i="1"/>
  <c r="H59" i="1"/>
  <c r="E59" i="1"/>
  <c r="D59" i="1"/>
  <c r="I58" i="1"/>
  <c r="H58" i="1"/>
  <c r="G58" i="1"/>
  <c r="F58" i="1"/>
  <c r="Y57" i="1"/>
  <c r="W57" i="1"/>
  <c r="U57" i="1"/>
  <c r="R57" i="1"/>
  <c r="R58" i="1" s="1"/>
  <c r="Q57" i="1"/>
  <c r="P57" i="1"/>
  <c r="N57" i="1"/>
  <c r="M57" i="1"/>
  <c r="J57" i="1"/>
  <c r="L57" i="1" s="1"/>
  <c r="I57" i="1"/>
  <c r="F57" i="1"/>
  <c r="H57" i="1" s="1"/>
  <c r="E57" i="1"/>
  <c r="B57" i="1"/>
  <c r="W56" i="1"/>
  <c r="Y56" i="1" s="1"/>
  <c r="U56" i="1"/>
  <c r="S56" i="1"/>
  <c r="T56" i="1" s="1"/>
  <c r="R56" i="1"/>
  <c r="O56" i="1"/>
  <c r="Q56" i="1" s="1"/>
  <c r="N56" i="1"/>
  <c r="P56" i="1" s="1"/>
  <c r="K56" i="1"/>
  <c r="M56" i="1" s="1"/>
  <c r="J56" i="1"/>
  <c r="L56" i="1" s="1"/>
  <c r="H56" i="1"/>
  <c r="G56" i="1"/>
  <c r="I56" i="1" s="1"/>
  <c r="F56" i="1"/>
  <c r="D56" i="1"/>
  <c r="C56" i="1"/>
  <c r="E56" i="1" s="1"/>
  <c r="B56" i="1"/>
  <c r="V56" i="1" s="1"/>
  <c r="X56" i="1" s="1"/>
  <c r="W55" i="1"/>
  <c r="U55" i="1"/>
  <c r="S55" i="1"/>
  <c r="T55" i="1" s="1"/>
  <c r="R55" i="1"/>
  <c r="O55" i="1"/>
  <c r="Q55" i="1" s="1"/>
  <c r="N55" i="1"/>
  <c r="P55" i="1" s="1"/>
  <c r="K55" i="1"/>
  <c r="J55" i="1"/>
  <c r="I55" i="1"/>
  <c r="H55" i="1"/>
  <c r="G55" i="1"/>
  <c r="F55" i="1"/>
  <c r="C55" i="1"/>
  <c r="B55" i="1"/>
  <c r="D55" i="1" s="1"/>
  <c r="W54" i="1"/>
  <c r="Y54" i="1" s="1"/>
  <c r="V54" i="1"/>
  <c r="X54" i="1" s="1"/>
  <c r="U54" i="1"/>
  <c r="T54" i="1"/>
  <c r="Q54" i="1"/>
  <c r="P54" i="1"/>
  <c r="M54" i="1"/>
  <c r="L54" i="1"/>
  <c r="I54" i="1"/>
  <c r="H54" i="1"/>
  <c r="E54" i="1"/>
  <c r="D54" i="1"/>
  <c r="W53" i="1"/>
  <c r="O53" i="1"/>
  <c r="J53" i="1"/>
  <c r="L53" i="1" s="1"/>
  <c r="F53" i="1"/>
  <c r="H53" i="1" s="1"/>
  <c r="E53" i="1"/>
  <c r="C53" i="1"/>
  <c r="B53" i="1"/>
  <c r="D53" i="1" s="1"/>
  <c r="W52" i="1"/>
  <c r="Y52" i="1" s="1"/>
  <c r="U52" i="1"/>
  <c r="R52" i="1"/>
  <c r="T52" i="1" s="1"/>
  <c r="Q52" i="1"/>
  <c r="N52" i="1"/>
  <c r="N53" i="1" s="1"/>
  <c r="P53" i="1" s="1"/>
  <c r="M52" i="1"/>
  <c r="L52" i="1"/>
  <c r="J52" i="1"/>
  <c r="I52" i="1"/>
  <c r="H52" i="1"/>
  <c r="F52" i="1"/>
  <c r="E52" i="1"/>
  <c r="B52" i="1"/>
  <c r="D52" i="1" s="1"/>
  <c r="V51" i="1"/>
  <c r="T51" i="1"/>
  <c r="S51" i="1"/>
  <c r="U51" i="1" s="1"/>
  <c r="R51" i="1"/>
  <c r="Q51" i="1"/>
  <c r="P51" i="1"/>
  <c r="O51" i="1"/>
  <c r="N51" i="1"/>
  <c r="L51" i="1"/>
  <c r="K51" i="1"/>
  <c r="M51" i="1" s="1"/>
  <c r="J51" i="1"/>
  <c r="H51" i="1"/>
  <c r="G51" i="1"/>
  <c r="I51" i="1" s="1"/>
  <c r="F51" i="1"/>
  <c r="E51" i="1"/>
  <c r="D51" i="1"/>
  <c r="C51" i="1"/>
  <c r="B51" i="1"/>
  <c r="W50" i="1"/>
  <c r="T50" i="1"/>
  <c r="S50" i="1"/>
  <c r="S53" i="1" s="1"/>
  <c r="R50" i="1"/>
  <c r="R53" i="1" s="1"/>
  <c r="T53" i="1" s="1"/>
  <c r="Q50" i="1"/>
  <c r="P50" i="1"/>
  <c r="O50" i="1"/>
  <c r="N50" i="1"/>
  <c r="K50" i="1"/>
  <c r="K53" i="1" s="1"/>
  <c r="J50" i="1"/>
  <c r="L50" i="1" s="1"/>
  <c r="H50" i="1"/>
  <c r="G50" i="1"/>
  <c r="G53" i="1" s="1"/>
  <c r="F50" i="1"/>
  <c r="E50" i="1"/>
  <c r="D50" i="1"/>
  <c r="C50" i="1"/>
  <c r="B50" i="1"/>
  <c r="Y49" i="1"/>
  <c r="W49" i="1"/>
  <c r="V49" i="1"/>
  <c r="X49" i="1" s="1"/>
  <c r="U49" i="1"/>
  <c r="T49" i="1"/>
  <c r="Q49" i="1"/>
  <c r="P49" i="1"/>
  <c r="M49" i="1"/>
  <c r="L49" i="1"/>
  <c r="I49" i="1"/>
  <c r="H49" i="1"/>
  <c r="E49" i="1"/>
  <c r="D49" i="1"/>
  <c r="R48" i="1"/>
  <c r="K48" i="1"/>
  <c r="M48" i="1" s="1"/>
  <c r="J48" i="1"/>
  <c r="L48" i="1" s="1"/>
  <c r="W47" i="1"/>
  <c r="Y47" i="1" s="1"/>
  <c r="U47" i="1"/>
  <c r="T47" i="1"/>
  <c r="R47" i="1"/>
  <c r="Q47" i="1"/>
  <c r="P47" i="1"/>
  <c r="N47" i="1"/>
  <c r="M47" i="1"/>
  <c r="L47" i="1"/>
  <c r="J47" i="1"/>
  <c r="I47" i="1"/>
  <c r="F47" i="1"/>
  <c r="H47" i="1" s="1"/>
  <c r="E47" i="1"/>
  <c r="D47" i="1"/>
  <c r="B47" i="1"/>
  <c r="T46" i="1"/>
  <c r="S46" i="1"/>
  <c r="U46" i="1" s="1"/>
  <c r="R46" i="1"/>
  <c r="O46" i="1"/>
  <c r="N46" i="1"/>
  <c r="P46" i="1" s="1"/>
  <c r="M46" i="1"/>
  <c r="K46" i="1"/>
  <c r="J46" i="1"/>
  <c r="L46" i="1" s="1"/>
  <c r="G46" i="1"/>
  <c r="I46" i="1" s="1"/>
  <c r="F46" i="1"/>
  <c r="H46" i="1" s="1"/>
  <c r="C46" i="1"/>
  <c r="B46" i="1"/>
  <c r="V45" i="1"/>
  <c r="X45" i="1" s="1"/>
  <c r="T45" i="1"/>
  <c r="S45" i="1"/>
  <c r="U45" i="1" s="1"/>
  <c r="R45" i="1"/>
  <c r="Q45" i="1"/>
  <c r="P45" i="1"/>
  <c r="O45" i="1"/>
  <c r="O48" i="1" s="1"/>
  <c r="Q48" i="1" s="1"/>
  <c r="N45" i="1"/>
  <c r="N48" i="1" s="1"/>
  <c r="M45" i="1"/>
  <c r="K45" i="1"/>
  <c r="J45" i="1"/>
  <c r="L45" i="1" s="1"/>
  <c r="I45" i="1"/>
  <c r="G45" i="1"/>
  <c r="G48" i="1" s="1"/>
  <c r="F45" i="1"/>
  <c r="H45" i="1" s="1"/>
  <c r="D45" i="1"/>
  <c r="C45" i="1"/>
  <c r="W45" i="1" s="1"/>
  <c r="B45" i="1"/>
  <c r="B48" i="1" s="1"/>
  <c r="Y44" i="1"/>
  <c r="W44" i="1"/>
  <c r="V44" i="1"/>
  <c r="X44" i="1" s="1"/>
  <c r="U44" i="1"/>
  <c r="T44" i="1"/>
  <c r="Q44" i="1"/>
  <c r="P44" i="1"/>
  <c r="M44" i="1"/>
  <c r="L44" i="1"/>
  <c r="I44" i="1"/>
  <c r="H44" i="1"/>
  <c r="E44" i="1"/>
  <c r="D44" i="1"/>
  <c r="O43" i="1"/>
  <c r="W42" i="1"/>
  <c r="Y42" i="1" s="1"/>
  <c r="U42" i="1"/>
  <c r="R42" i="1"/>
  <c r="T42" i="1" s="1"/>
  <c r="Q42" i="1"/>
  <c r="P42" i="1"/>
  <c r="N42" i="1"/>
  <c r="M42" i="1"/>
  <c r="L42" i="1"/>
  <c r="J42" i="1"/>
  <c r="I42" i="1"/>
  <c r="H42" i="1"/>
  <c r="F42" i="1"/>
  <c r="E42" i="1"/>
  <c r="B42" i="1"/>
  <c r="V42" i="1" s="1"/>
  <c r="X42" i="1" s="1"/>
  <c r="S41" i="1"/>
  <c r="U41" i="1" s="1"/>
  <c r="R41" i="1"/>
  <c r="T41" i="1" s="1"/>
  <c r="Q41" i="1"/>
  <c r="P41" i="1"/>
  <c r="O41" i="1"/>
  <c r="N41" i="1"/>
  <c r="K41" i="1"/>
  <c r="M41" i="1" s="1"/>
  <c r="J41" i="1"/>
  <c r="J43" i="1" s="1"/>
  <c r="L43" i="1" s="1"/>
  <c r="G41" i="1"/>
  <c r="F41" i="1"/>
  <c r="H41" i="1" s="1"/>
  <c r="C41" i="1"/>
  <c r="B41" i="1"/>
  <c r="V40" i="1"/>
  <c r="S40" i="1"/>
  <c r="R40" i="1"/>
  <c r="P40" i="1"/>
  <c r="O40" i="1"/>
  <c r="Q40" i="1" s="1"/>
  <c r="N40" i="1"/>
  <c r="M40" i="1"/>
  <c r="L40" i="1"/>
  <c r="K40" i="1"/>
  <c r="K43" i="1" s="1"/>
  <c r="J40" i="1"/>
  <c r="G40" i="1"/>
  <c r="I40" i="1" s="1"/>
  <c r="F40" i="1"/>
  <c r="E40" i="1"/>
  <c r="D40" i="1"/>
  <c r="C40" i="1"/>
  <c r="C43" i="1" s="1"/>
  <c r="B40" i="1"/>
  <c r="W39" i="1"/>
  <c r="Y39" i="1" s="1"/>
  <c r="V39" i="1"/>
  <c r="X39" i="1" s="1"/>
  <c r="U39" i="1"/>
  <c r="T39" i="1"/>
  <c r="Q39" i="1"/>
  <c r="P39" i="1"/>
  <c r="M39" i="1"/>
  <c r="L39" i="1"/>
  <c r="I39" i="1"/>
  <c r="H39" i="1"/>
  <c r="E39" i="1"/>
  <c r="D39" i="1"/>
  <c r="S38" i="1"/>
  <c r="U38" i="1" s="1"/>
  <c r="R38" i="1"/>
  <c r="F38" i="1"/>
  <c r="C38" i="1"/>
  <c r="B38" i="1"/>
  <c r="Y37" i="1"/>
  <c r="W37" i="1"/>
  <c r="U37" i="1"/>
  <c r="T37" i="1"/>
  <c r="R37" i="1"/>
  <c r="Q37" i="1"/>
  <c r="N37" i="1"/>
  <c r="P37" i="1" s="1"/>
  <c r="M37" i="1"/>
  <c r="J37" i="1"/>
  <c r="L37" i="1" s="1"/>
  <c r="I37" i="1"/>
  <c r="H37" i="1"/>
  <c r="F37" i="1"/>
  <c r="E37" i="1"/>
  <c r="D37" i="1"/>
  <c r="B37" i="1"/>
  <c r="V36" i="1"/>
  <c r="U36" i="1"/>
  <c r="T36" i="1"/>
  <c r="S36" i="1"/>
  <c r="R36" i="1"/>
  <c r="O36" i="1"/>
  <c r="N36" i="1"/>
  <c r="P36" i="1" s="1"/>
  <c r="K36" i="1"/>
  <c r="J36" i="1"/>
  <c r="H36" i="1"/>
  <c r="G36" i="1"/>
  <c r="I36" i="1" s="1"/>
  <c r="F36" i="1"/>
  <c r="C36" i="1"/>
  <c r="B36" i="1"/>
  <c r="D36" i="1" s="1"/>
  <c r="V35" i="1"/>
  <c r="S35" i="1"/>
  <c r="U35" i="1" s="1"/>
  <c r="R35" i="1"/>
  <c r="O35" i="1"/>
  <c r="N35" i="1"/>
  <c r="P35" i="1" s="1"/>
  <c r="L35" i="1"/>
  <c r="K35" i="1"/>
  <c r="K38" i="1" s="1"/>
  <c r="J35" i="1"/>
  <c r="G35" i="1"/>
  <c r="H35" i="1" s="1"/>
  <c r="F35" i="1"/>
  <c r="D35" i="1"/>
  <c r="C35" i="1"/>
  <c r="B35" i="1"/>
  <c r="W34" i="1"/>
  <c r="Y34" i="1" s="1"/>
  <c r="V34" i="1"/>
  <c r="X34" i="1" s="1"/>
  <c r="U34" i="1"/>
  <c r="T34" i="1"/>
  <c r="Q34" i="1"/>
  <c r="P34" i="1"/>
  <c r="M34" i="1"/>
  <c r="L34" i="1"/>
  <c r="I34" i="1"/>
  <c r="H34" i="1"/>
  <c r="E34" i="1"/>
  <c r="D34" i="1"/>
  <c r="R33" i="1"/>
  <c r="J33" i="1"/>
  <c r="L33" i="1" s="1"/>
  <c r="F33" i="1"/>
  <c r="E33" i="1"/>
  <c r="D33" i="1"/>
  <c r="C33" i="1"/>
  <c r="W32" i="1"/>
  <c r="Y32" i="1" s="1"/>
  <c r="U32" i="1"/>
  <c r="R32" i="1"/>
  <c r="T32" i="1" s="1"/>
  <c r="Q32" i="1"/>
  <c r="N32" i="1"/>
  <c r="P32" i="1" s="1"/>
  <c r="M32" i="1"/>
  <c r="L32" i="1"/>
  <c r="J32" i="1"/>
  <c r="I32" i="1"/>
  <c r="F32" i="1"/>
  <c r="H32" i="1" s="1"/>
  <c r="E32" i="1"/>
  <c r="B32" i="1"/>
  <c r="B33" i="1" s="1"/>
  <c r="V31" i="1"/>
  <c r="S31" i="1"/>
  <c r="U31" i="1" s="1"/>
  <c r="R31" i="1"/>
  <c r="T31" i="1" s="1"/>
  <c r="Q31" i="1"/>
  <c r="P31" i="1"/>
  <c r="O31" i="1"/>
  <c r="N31" i="1"/>
  <c r="L31" i="1"/>
  <c r="K31" i="1"/>
  <c r="K33" i="1" s="1"/>
  <c r="M33" i="1" s="1"/>
  <c r="I31" i="1"/>
  <c r="G31" i="1"/>
  <c r="H31" i="1" s="1"/>
  <c r="C31" i="1"/>
  <c r="E31" i="1" s="1"/>
  <c r="V30" i="1"/>
  <c r="S30" i="1"/>
  <c r="S33" i="1" s="1"/>
  <c r="U33" i="1" s="1"/>
  <c r="R30" i="1"/>
  <c r="O30" i="1"/>
  <c r="O33" i="1" s="1"/>
  <c r="N30" i="1"/>
  <c r="M30" i="1"/>
  <c r="K30" i="1"/>
  <c r="L30" i="1" s="1"/>
  <c r="I30" i="1"/>
  <c r="H30" i="1"/>
  <c r="G30" i="1"/>
  <c r="E30" i="1"/>
  <c r="C30" i="1"/>
  <c r="D30" i="1" s="1"/>
  <c r="W29" i="1"/>
  <c r="Y29" i="1" s="1"/>
  <c r="V29" i="1"/>
  <c r="X29" i="1" s="1"/>
  <c r="U29" i="1"/>
  <c r="T29" i="1"/>
  <c r="Q29" i="1"/>
  <c r="P29" i="1"/>
  <c r="M29" i="1"/>
  <c r="L29" i="1"/>
  <c r="I29" i="1"/>
  <c r="H29" i="1"/>
  <c r="E29" i="1"/>
  <c r="D29" i="1"/>
  <c r="S28" i="1"/>
  <c r="U28" i="1" s="1"/>
  <c r="R28" i="1"/>
  <c r="T28" i="1" s="1"/>
  <c r="K28" i="1"/>
  <c r="G28" i="1"/>
  <c r="I28" i="1" s="1"/>
  <c r="F28" i="1"/>
  <c r="Y27" i="1"/>
  <c r="W27" i="1"/>
  <c r="U27" i="1"/>
  <c r="R27" i="1"/>
  <c r="T27" i="1" s="1"/>
  <c r="Q27" i="1"/>
  <c r="N27" i="1"/>
  <c r="P27" i="1" s="1"/>
  <c r="M27" i="1"/>
  <c r="J27" i="1"/>
  <c r="L27" i="1" s="1"/>
  <c r="I27" i="1"/>
  <c r="F27" i="1"/>
  <c r="H27" i="1" s="1"/>
  <c r="E27" i="1"/>
  <c r="B27" i="1"/>
  <c r="S26" i="1"/>
  <c r="U26" i="1" s="1"/>
  <c r="R26" i="1"/>
  <c r="O26" i="1"/>
  <c r="Q26" i="1" s="1"/>
  <c r="N26" i="1"/>
  <c r="M26" i="1"/>
  <c r="K26" i="1"/>
  <c r="J26" i="1"/>
  <c r="L26" i="1" s="1"/>
  <c r="G26" i="1"/>
  <c r="I26" i="1" s="1"/>
  <c r="F26" i="1"/>
  <c r="C26" i="1"/>
  <c r="B26" i="1"/>
  <c r="V26" i="1" s="1"/>
  <c r="S25" i="1"/>
  <c r="U25" i="1" s="1"/>
  <c r="R25" i="1"/>
  <c r="O25" i="1"/>
  <c r="N25" i="1"/>
  <c r="N28" i="1" s="1"/>
  <c r="M25" i="1"/>
  <c r="K25" i="1"/>
  <c r="J25" i="1"/>
  <c r="L25" i="1" s="1"/>
  <c r="G25" i="1"/>
  <c r="I25" i="1" s="1"/>
  <c r="F25" i="1"/>
  <c r="C25" i="1"/>
  <c r="B25" i="1"/>
  <c r="Y24" i="1"/>
  <c r="W24" i="1"/>
  <c r="V24" i="1"/>
  <c r="X24" i="1" s="1"/>
  <c r="U24" i="1"/>
  <c r="T24" i="1"/>
  <c r="Q24" i="1"/>
  <c r="P24" i="1"/>
  <c r="M24" i="1"/>
  <c r="L24" i="1"/>
  <c r="I24" i="1"/>
  <c r="H24" i="1"/>
  <c r="E24" i="1"/>
  <c r="D24" i="1"/>
  <c r="R23" i="1"/>
  <c r="O23" i="1"/>
  <c r="Q23" i="1" s="1"/>
  <c r="F23" i="1"/>
  <c r="C23" i="1"/>
  <c r="E23" i="1" s="1"/>
  <c r="W22" i="1"/>
  <c r="Y22" i="1" s="1"/>
  <c r="U22" i="1"/>
  <c r="R22" i="1"/>
  <c r="T22" i="1" s="1"/>
  <c r="Q22" i="1"/>
  <c r="N22" i="1"/>
  <c r="P22" i="1" s="1"/>
  <c r="M22" i="1"/>
  <c r="J22" i="1"/>
  <c r="L22" i="1" s="1"/>
  <c r="I22" i="1"/>
  <c r="F22" i="1"/>
  <c r="H22" i="1" s="1"/>
  <c r="E22" i="1"/>
  <c r="B22" i="1"/>
  <c r="D22" i="1" s="1"/>
  <c r="W21" i="1"/>
  <c r="Y21" i="1" s="1"/>
  <c r="V21" i="1"/>
  <c r="X21" i="1" s="1"/>
  <c r="S21" i="1"/>
  <c r="U21" i="1" s="1"/>
  <c r="R21" i="1"/>
  <c r="T21" i="1" s="1"/>
  <c r="Q21" i="1"/>
  <c r="P21" i="1"/>
  <c r="O21" i="1"/>
  <c r="N21" i="1"/>
  <c r="K21" i="1"/>
  <c r="M21" i="1" s="1"/>
  <c r="J21" i="1"/>
  <c r="L21" i="1" s="1"/>
  <c r="G21" i="1"/>
  <c r="I21" i="1" s="1"/>
  <c r="F21" i="1"/>
  <c r="H21" i="1" s="1"/>
  <c r="E21" i="1"/>
  <c r="D21" i="1"/>
  <c r="C21" i="1"/>
  <c r="B21" i="1"/>
  <c r="W20" i="1"/>
  <c r="Y20" i="1" s="1"/>
  <c r="V20" i="1"/>
  <c r="X20" i="1" s="1"/>
  <c r="S20" i="1"/>
  <c r="U20" i="1" s="1"/>
  <c r="R20" i="1"/>
  <c r="T20" i="1" s="1"/>
  <c r="Q20" i="1"/>
  <c r="P20" i="1"/>
  <c r="O20" i="1"/>
  <c r="N20" i="1"/>
  <c r="N23" i="1" s="1"/>
  <c r="P23" i="1" s="1"/>
  <c r="M20" i="1"/>
  <c r="L20" i="1"/>
  <c r="K20" i="1"/>
  <c r="J20" i="1"/>
  <c r="G20" i="1"/>
  <c r="I20" i="1" s="1"/>
  <c r="F20" i="1"/>
  <c r="H20" i="1" s="1"/>
  <c r="E20" i="1"/>
  <c r="D20" i="1"/>
  <c r="C20" i="1"/>
  <c r="B20" i="1"/>
  <c r="B23" i="1" s="1"/>
  <c r="W19" i="1"/>
  <c r="Y19" i="1" s="1"/>
  <c r="V19" i="1"/>
  <c r="X19" i="1" s="1"/>
  <c r="U19" i="1"/>
  <c r="T19" i="1"/>
  <c r="Q19" i="1"/>
  <c r="P19" i="1"/>
  <c r="M19" i="1"/>
  <c r="L19" i="1"/>
  <c r="I19" i="1"/>
  <c r="H19" i="1"/>
  <c r="E19" i="1"/>
  <c r="D19" i="1"/>
  <c r="O18" i="1"/>
  <c r="F18" i="1"/>
  <c r="C18" i="1"/>
  <c r="Y17" i="1"/>
  <c r="W17" i="1"/>
  <c r="U17" i="1"/>
  <c r="R17" i="1"/>
  <c r="T17" i="1" s="1"/>
  <c r="Q17" i="1"/>
  <c r="N17" i="1"/>
  <c r="P17" i="1" s="1"/>
  <c r="M17" i="1"/>
  <c r="J17" i="1"/>
  <c r="L17" i="1" s="1"/>
  <c r="I17" i="1"/>
  <c r="F17" i="1"/>
  <c r="H17" i="1" s="1"/>
  <c r="E17" i="1"/>
  <c r="B17" i="1"/>
  <c r="S16" i="1"/>
  <c r="U16" i="1" s="1"/>
  <c r="R16" i="1"/>
  <c r="O16" i="1"/>
  <c r="N16" i="1"/>
  <c r="P16" i="1" s="1"/>
  <c r="M16" i="1"/>
  <c r="K16" i="1"/>
  <c r="J16" i="1"/>
  <c r="L16" i="1" s="1"/>
  <c r="G16" i="1"/>
  <c r="W16" i="1" s="1"/>
  <c r="F16" i="1"/>
  <c r="C16" i="1"/>
  <c r="B16" i="1"/>
  <c r="S15" i="1"/>
  <c r="S18" i="1" s="1"/>
  <c r="R15" i="1"/>
  <c r="O15" i="1"/>
  <c r="N15" i="1"/>
  <c r="M15" i="1"/>
  <c r="K15" i="1"/>
  <c r="K18" i="1" s="1"/>
  <c r="J15" i="1"/>
  <c r="H15" i="1"/>
  <c r="G15" i="1"/>
  <c r="F15" i="1"/>
  <c r="C15" i="1"/>
  <c r="B15" i="1"/>
  <c r="V15" i="1" s="1"/>
  <c r="Y14" i="1"/>
  <c r="W14" i="1"/>
  <c r="V14" i="1"/>
  <c r="X14" i="1" s="1"/>
  <c r="U14" i="1"/>
  <c r="T14" i="1"/>
  <c r="Q14" i="1"/>
  <c r="P14" i="1"/>
  <c r="M14" i="1"/>
  <c r="L14" i="1"/>
  <c r="I14" i="1"/>
  <c r="H14" i="1"/>
  <c r="E14" i="1"/>
  <c r="D14" i="1"/>
  <c r="N12" i="1"/>
  <c r="N11" i="1"/>
  <c r="F11" i="1"/>
  <c r="B11" i="1"/>
  <c r="B12" i="1" s="1"/>
  <c r="V10" i="1"/>
  <c r="U10" i="1"/>
  <c r="S10" i="1"/>
  <c r="T10" i="1" s="1"/>
  <c r="O10" i="1"/>
  <c r="P10" i="1" s="1"/>
  <c r="K10" i="1"/>
  <c r="W10" i="1" s="1"/>
  <c r="Y10" i="1" s="1"/>
  <c r="I10" i="1"/>
  <c r="H10" i="1"/>
  <c r="G10" i="1"/>
  <c r="E10" i="1"/>
  <c r="C10" i="1"/>
  <c r="D10" i="1" s="1"/>
  <c r="S9" i="1"/>
  <c r="U9" i="1" s="1"/>
  <c r="R9" i="1"/>
  <c r="T9" i="1" s="1"/>
  <c r="Q9" i="1"/>
  <c r="P9" i="1"/>
  <c r="O9" i="1"/>
  <c r="N9" i="1"/>
  <c r="K9" i="1"/>
  <c r="M9" i="1" s="1"/>
  <c r="J9" i="1"/>
  <c r="G9" i="1"/>
  <c r="I9" i="1" s="1"/>
  <c r="F9" i="1"/>
  <c r="H9" i="1" s="1"/>
  <c r="C9" i="1"/>
  <c r="W9" i="1" s="1"/>
  <c r="Y9" i="1" s="1"/>
  <c r="B9" i="1"/>
  <c r="V9" i="1" s="1"/>
  <c r="S8" i="1"/>
  <c r="S11" i="1" s="1"/>
  <c r="S12" i="1" s="1"/>
  <c r="R8" i="1"/>
  <c r="T8" i="1" s="1"/>
  <c r="O8" i="1"/>
  <c r="O11" i="1" s="1"/>
  <c r="N8" i="1"/>
  <c r="K8" i="1"/>
  <c r="M8" i="1" s="1"/>
  <c r="J8" i="1"/>
  <c r="J11" i="1" s="1"/>
  <c r="G8" i="1"/>
  <c r="G11" i="1" s="1"/>
  <c r="G12" i="1" s="1"/>
  <c r="F8" i="1"/>
  <c r="H8" i="1" s="1"/>
  <c r="C8" i="1"/>
  <c r="C11" i="1" s="1"/>
  <c r="B8" i="1"/>
  <c r="V8" i="1" s="1"/>
  <c r="H78" i="1" l="1"/>
  <c r="E11" i="1"/>
  <c r="C12" i="1"/>
  <c r="W11" i="1"/>
  <c r="Y11" i="1" s="1"/>
  <c r="X10" i="1"/>
  <c r="Q11" i="1"/>
  <c r="O12" i="1"/>
  <c r="P11" i="1"/>
  <c r="J12" i="1"/>
  <c r="X9" i="1"/>
  <c r="P92" i="1"/>
  <c r="D8" i="1"/>
  <c r="P8" i="1"/>
  <c r="D9" i="1"/>
  <c r="R11" i="1"/>
  <c r="T15" i="1"/>
  <c r="W18" i="1"/>
  <c r="V25" i="1"/>
  <c r="X25" i="1" s="1"/>
  <c r="B28" i="1"/>
  <c r="P26" i="1"/>
  <c r="P48" i="1"/>
  <c r="I63" i="1"/>
  <c r="Y65" i="1"/>
  <c r="U68" i="1"/>
  <c r="V100" i="1"/>
  <c r="X100" i="1" s="1"/>
  <c r="P100" i="1"/>
  <c r="W25" i="1"/>
  <c r="C28" i="1"/>
  <c r="E25" i="1"/>
  <c r="V47" i="1"/>
  <c r="X47" i="1" s="1"/>
  <c r="U81" i="1"/>
  <c r="T81" i="1"/>
  <c r="T92" i="1"/>
  <c r="L10" i="1"/>
  <c r="D11" i="1"/>
  <c r="V11" i="1"/>
  <c r="G18" i="1"/>
  <c r="W15" i="1"/>
  <c r="Y15" i="1" s="1"/>
  <c r="Q16" i="1"/>
  <c r="D25" i="1"/>
  <c r="T30" i="1"/>
  <c r="W36" i="1"/>
  <c r="Y36" i="1" s="1"/>
  <c r="T38" i="1"/>
  <c r="D42" i="1"/>
  <c r="I53" i="1"/>
  <c r="P60" i="1"/>
  <c r="N63" i="1"/>
  <c r="P63" i="1" s="1"/>
  <c r="V60" i="1"/>
  <c r="L65" i="1"/>
  <c r="J68" i="1"/>
  <c r="W66" i="1"/>
  <c r="E66" i="1"/>
  <c r="T80" i="1"/>
  <c r="S83" i="1"/>
  <c r="L87" i="1"/>
  <c r="J88" i="1"/>
  <c r="L88" i="1" s="1"/>
  <c r="Y93" i="1"/>
  <c r="X93" i="1"/>
  <c r="M10" i="1"/>
  <c r="O63" i="1"/>
  <c r="Q60" i="1"/>
  <c r="E73" i="1"/>
  <c r="D73" i="1"/>
  <c r="P12" i="1"/>
  <c r="X30" i="1"/>
  <c r="Q53" i="1"/>
  <c r="K58" i="1"/>
  <c r="M58" i="1" s="1"/>
  <c r="M55" i="1"/>
  <c r="T58" i="1"/>
  <c r="M65" i="1"/>
  <c r="U73" i="1"/>
  <c r="H76" i="1"/>
  <c r="W81" i="1"/>
  <c r="Y81" i="1" s="1"/>
  <c r="U112" i="1"/>
  <c r="M43" i="1"/>
  <c r="E9" i="1"/>
  <c r="X36" i="1"/>
  <c r="H11" i="1"/>
  <c r="F12" i="1"/>
  <c r="W26" i="1"/>
  <c r="Y26" i="1" s="1"/>
  <c r="E26" i="1"/>
  <c r="L41" i="1"/>
  <c r="J58" i="1"/>
  <c r="L55" i="1"/>
  <c r="I15" i="1"/>
  <c r="N18" i="1"/>
  <c r="V27" i="1"/>
  <c r="X27" i="1" s="1"/>
  <c r="I8" i="1"/>
  <c r="U8" i="1"/>
  <c r="Q10" i="1"/>
  <c r="J18" i="1"/>
  <c r="L15" i="1"/>
  <c r="T16" i="1"/>
  <c r="J23" i="1"/>
  <c r="D27" i="1"/>
  <c r="G33" i="1"/>
  <c r="I33" i="1" s="1"/>
  <c r="W30" i="1"/>
  <c r="Y30" i="1" s="1"/>
  <c r="T33" i="1"/>
  <c r="M36" i="1"/>
  <c r="L36" i="1"/>
  <c r="E43" i="1"/>
  <c r="T40" i="1"/>
  <c r="R43" i="1"/>
  <c r="G43" i="1"/>
  <c r="Q46" i="1"/>
  <c r="W51" i="1"/>
  <c r="Y51" i="1" s="1"/>
  <c r="P52" i="1"/>
  <c r="U53" i="1"/>
  <c r="T57" i="1"/>
  <c r="P62" i="1"/>
  <c r="J73" i="1"/>
  <c r="L72" i="1"/>
  <c r="I76" i="1"/>
  <c r="P86" i="1"/>
  <c r="N112" i="1"/>
  <c r="P109" i="1"/>
  <c r="V23" i="1"/>
  <c r="Q8" i="1"/>
  <c r="W76" i="1"/>
  <c r="Y76" i="1" s="1"/>
  <c r="I11" i="1"/>
  <c r="E16" i="1"/>
  <c r="D16" i="1"/>
  <c r="D23" i="1"/>
  <c r="D26" i="1"/>
  <c r="L9" i="1"/>
  <c r="K11" i="1"/>
  <c r="L11" i="1" s="1"/>
  <c r="R18" i="1"/>
  <c r="K23" i="1"/>
  <c r="M23" i="1" s="1"/>
  <c r="W31" i="1"/>
  <c r="U40" i="1"/>
  <c r="S43" i="1"/>
  <c r="U43" i="1" s="1"/>
  <c r="V50" i="1"/>
  <c r="X50" i="1" s="1"/>
  <c r="V53" i="1"/>
  <c r="X53" i="1" s="1"/>
  <c r="C63" i="1"/>
  <c r="H83" i="1"/>
  <c r="W86" i="1"/>
  <c r="Y86" i="1" s="1"/>
  <c r="E86" i="1"/>
  <c r="V92" i="1"/>
  <c r="Q109" i="1"/>
  <c r="O112" i="1"/>
  <c r="Q112" i="1" s="1"/>
  <c r="G38" i="1"/>
  <c r="W35" i="1"/>
  <c r="I35" i="1"/>
  <c r="D107" i="1"/>
  <c r="V16" i="1"/>
  <c r="X16" i="1" s="1"/>
  <c r="V57" i="1"/>
  <c r="X57" i="1" s="1"/>
  <c r="D57" i="1"/>
  <c r="V61" i="1"/>
  <c r="X61" i="1" s="1"/>
  <c r="B68" i="1"/>
  <c r="E92" i="1"/>
  <c r="D102" i="1"/>
  <c r="Y71" i="1"/>
  <c r="L8" i="1"/>
  <c r="Q15" i="1"/>
  <c r="P15" i="1"/>
  <c r="H16" i="1"/>
  <c r="P28" i="1"/>
  <c r="H28" i="1"/>
  <c r="T35" i="1"/>
  <c r="H40" i="1"/>
  <c r="F43" i="1"/>
  <c r="H43" i="1" s="1"/>
  <c r="W40" i="1"/>
  <c r="Y40" i="1" s="1"/>
  <c r="Y45" i="1"/>
  <c r="M53" i="1"/>
  <c r="E61" i="1"/>
  <c r="P73" i="1"/>
  <c r="R78" i="1"/>
  <c r="T78" i="1" s="1"/>
  <c r="D92" i="1"/>
  <c r="H95" i="1"/>
  <c r="Q107" i="1"/>
  <c r="P107" i="1"/>
  <c r="E15" i="1"/>
  <c r="D15" i="1"/>
  <c r="H18" i="1"/>
  <c r="V66" i="1"/>
  <c r="X66" i="1" s="1"/>
  <c r="D66" i="1"/>
  <c r="U30" i="1"/>
  <c r="W8" i="1"/>
  <c r="Y8" i="1" s="1"/>
  <c r="I16" i="1"/>
  <c r="D38" i="1"/>
  <c r="V41" i="1"/>
  <c r="Q43" i="1"/>
  <c r="V46" i="1"/>
  <c r="D46" i="1"/>
  <c r="P68" i="1"/>
  <c r="U71" i="1"/>
  <c r="T71" i="1"/>
  <c r="B78" i="1"/>
  <c r="V75" i="1"/>
  <c r="S78" i="1"/>
  <c r="U75" i="1"/>
  <c r="V87" i="1"/>
  <c r="X87" i="1" s="1"/>
  <c r="W91" i="1"/>
  <c r="M91" i="1"/>
  <c r="E102" i="1"/>
  <c r="X108" i="1"/>
  <c r="V111" i="1"/>
  <c r="X111" i="1" s="1"/>
  <c r="D111" i="1"/>
  <c r="B18" i="1"/>
  <c r="E18" i="1" s="1"/>
  <c r="F73" i="1"/>
  <c r="H73" i="1" s="1"/>
  <c r="I71" i="1"/>
  <c r="H71" i="1"/>
  <c r="E8" i="1"/>
  <c r="U15" i="1"/>
  <c r="I12" i="1"/>
  <c r="V17" i="1"/>
  <c r="X17" i="1" s="1"/>
  <c r="D17" i="1"/>
  <c r="O28" i="1"/>
  <c r="Q28" i="1" s="1"/>
  <c r="Q25" i="1"/>
  <c r="P25" i="1"/>
  <c r="N33" i="1"/>
  <c r="P33" i="1" s="1"/>
  <c r="M31" i="1"/>
  <c r="W33" i="1"/>
  <c r="E38" i="1"/>
  <c r="W41" i="1"/>
  <c r="Y41" i="1" s="1"/>
  <c r="W46" i="1"/>
  <c r="Y46" i="1" s="1"/>
  <c r="E46" i="1"/>
  <c r="M50" i="1"/>
  <c r="V52" i="1"/>
  <c r="X52" i="1" s="1"/>
  <c r="V55" i="1"/>
  <c r="X55" i="1" s="1"/>
  <c r="I61" i="1"/>
  <c r="O68" i="1"/>
  <c r="Q68" i="1" s="1"/>
  <c r="E75" i="1"/>
  <c r="C78" i="1"/>
  <c r="W75" i="1"/>
  <c r="Y75" i="1" s="1"/>
  <c r="T75" i="1"/>
  <c r="L91" i="1"/>
  <c r="K107" i="1"/>
  <c r="M107" i="1" s="1"/>
  <c r="W104" i="1"/>
  <c r="Y104" i="1" s="1"/>
  <c r="O97" i="1"/>
  <c r="Q97" i="1" s="1"/>
  <c r="H102" i="1"/>
  <c r="G23" i="1"/>
  <c r="I23" i="1" s="1"/>
  <c r="S23" i="1"/>
  <c r="U23" i="1" s="1"/>
  <c r="J28" i="1"/>
  <c r="J63" i="1"/>
  <c r="L63" i="1" s="1"/>
  <c r="M76" i="1"/>
  <c r="V77" i="1"/>
  <c r="X77" i="1" s="1"/>
  <c r="W80" i="1"/>
  <c r="E80" i="1"/>
  <c r="V80" i="1"/>
  <c r="X80" i="1" s="1"/>
  <c r="B88" i="1"/>
  <c r="V85" i="1"/>
  <c r="O88" i="1"/>
  <c r="Q88" i="1" s="1"/>
  <c r="W90" i="1"/>
  <c r="Y90" i="1" s="1"/>
  <c r="M95" i="1"/>
  <c r="W100" i="1"/>
  <c r="V109" i="1"/>
  <c r="X109" i="1" s="1"/>
  <c r="B112" i="1"/>
  <c r="L110" i="1"/>
  <c r="D32" i="1"/>
  <c r="J38" i="1"/>
  <c r="L38" i="1" s="1"/>
  <c r="D60" i="1"/>
  <c r="B63" i="1"/>
  <c r="C68" i="1"/>
  <c r="W85" i="1"/>
  <c r="Y85" i="1" s="1"/>
  <c r="C88" i="1"/>
  <c r="P85" i="1"/>
  <c r="T86" i="1"/>
  <c r="W94" i="1"/>
  <c r="D100" i="1"/>
  <c r="T100" i="1"/>
  <c r="K102" i="1"/>
  <c r="E107" i="1"/>
  <c r="E109" i="1"/>
  <c r="C112" i="1"/>
  <c r="M110" i="1"/>
  <c r="V37" i="1"/>
  <c r="X37" i="1" s="1"/>
  <c r="N58" i="1"/>
  <c r="F68" i="1"/>
  <c r="H68" i="1" s="1"/>
  <c r="N78" i="1"/>
  <c r="P78" i="1" s="1"/>
  <c r="X81" i="1"/>
  <c r="Q85" i="1"/>
  <c r="R97" i="1"/>
  <c r="T97" i="1" s="1"/>
  <c r="U94" i="1"/>
  <c r="D97" i="1"/>
  <c r="U107" i="1"/>
  <c r="D109" i="1"/>
  <c r="W109" i="1"/>
  <c r="V22" i="1"/>
  <c r="X22" i="1" s="1"/>
  <c r="H25" i="1"/>
  <c r="T25" i="1"/>
  <c r="H26" i="1"/>
  <c r="T26" i="1"/>
  <c r="V32" i="1"/>
  <c r="X32" i="1" s="1"/>
  <c r="C48" i="1"/>
  <c r="S48" i="1"/>
  <c r="U48" i="1" s="1"/>
  <c r="O58" i="1"/>
  <c r="Q58" i="1" s="1"/>
  <c r="J78" i="1"/>
  <c r="L78" i="1" s="1"/>
  <c r="O78" i="1"/>
  <c r="I80" i="1"/>
  <c r="E81" i="1"/>
  <c r="V82" i="1"/>
  <c r="X82" i="1" s="1"/>
  <c r="E85" i="1"/>
  <c r="T87" i="1"/>
  <c r="H90" i="1"/>
  <c r="P95" i="1"/>
  <c r="C97" i="1"/>
  <c r="P106" i="1"/>
  <c r="D31" i="1"/>
  <c r="M35" i="1"/>
  <c r="Q36" i="1"/>
  <c r="N43" i="1"/>
  <c r="P43" i="1" s="1"/>
  <c r="D41" i="1"/>
  <c r="E45" i="1"/>
  <c r="F48" i="1"/>
  <c r="H48" i="1" s="1"/>
  <c r="E55" i="1"/>
  <c r="B58" i="1"/>
  <c r="W60" i="1"/>
  <c r="Y60" i="1" s="1"/>
  <c r="E65" i="1"/>
  <c r="H66" i="1"/>
  <c r="W70" i="1"/>
  <c r="Y70" i="1" s="1"/>
  <c r="M75" i="1"/>
  <c r="K78" i="1"/>
  <c r="M83" i="1"/>
  <c r="I90" i="1"/>
  <c r="G97" i="1"/>
  <c r="I97" i="1" s="1"/>
  <c r="T94" i="1"/>
  <c r="N102" i="1"/>
  <c r="V102" i="1" s="1"/>
  <c r="I107" i="1"/>
  <c r="P30" i="1"/>
  <c r="E36" i="1"/>
  <c r="E41" i="1"/>
  <c r="C58" i="1"/>
  <c r="I60" i="1"/>
  <c r="L75" i="1"/>
  <c r="E76" i="1"/>
  <c r="L90" i="1"/>
  <c r="K92" i="1"/>
  <c r="Q99" i="1"/>
  <c r="O102" i="1"/>
  <c r="Q102" i="1" s="1"/>
  <c r="V106" i="1"/>
  <c r="X106" i="1" s="1"/>
  <c r="L112" i="1"/>
  <c r="V110" i="1"/>
  <c r="X110" i="1" s="1"/>
  <c r="Q30" i="1"/>
  <c r="Q35" i="1"/>
  <c r="N38" i="1"/>
  <c r="B43" i="1"/>
  <c r="S58" i="1"/>
  <c r="U58" i="1" s="1"/>
  <c r="R63" i="1"/>
  <c r="T63" i="1" s="1"/>
  <c r="X69" i="1"/>
  <c r="L70" i="1"/>
  <c r="K73" i="1"/>
  <c r="M73" i="1" s="1"/>
  <c r="R83" i="1"/>
  <c r="H85" i="1"/>
  <c r="S88" i="1"/>
  <c r="U88" i="1" s="1"/>
  <c r="M90" i="1"/>
  <c r="W95" i="1"/>
  <c r="Y95" i="1" s="1"/>
  <c r="J97" i="1"/>
  <c r="P99" i="1"/>
  <c r="K112" i="1"/>
  <c r="M112" i="1" s="1"/>
  <c r="E110" i="1"/>
  <c r="E35" i="1"/>
  <c r="O38" i="1"/>
  <c r="Q38" i="1" s="1"/>
  <c r="I41" i="1"/>
  <c r="I50" i="1"/>
  <c r="U50" i="1"/>
  <c r="D61" i="1"/>
  <c r="T61" i="1"/>
  <c r="S63" i="1"/>
  <c r="V71" i="1"/>
  <c r="X71" i="1" s="1"/>
  <c r="Q75" i="1"/>
  <c r="C83" i="1"/>
  <c r="V94" i="1"/>
  <c r="X94" i="1" s="1"/>
  <c r="T99" i="1"/>
  <c r="R102" i="1"/>
  <c r="T102" i="1" s="1"/>
  <c r="J107" i="1"/>
  <c r="L109" i="1"/>
  <c r="D110" i="1"/>
  <c r="Q90" i="1"/>
  <c r="U99" i="1"/>
  <c r="I109" i="1"/>
  <c r="U109" i="1"/>
  <c r="I110" i="1"/>
  <c r="U110" i="1"/>
  <c r="D104" i="1"/>
  <c r="P104" i="1"/>
  <c r="D105" i="1"/>
  <c r="P105" i="1"/>
  <c r="X104" i="1" l="1"/>
  <c r="Y35" i="1"/>
  <c r="X35" i="1"/>
  <c r="J113" i="1"/>
  <c r="M18" i="1"/>
  <c r="L18" i="1"/>
  <c r="H12" i="1"/>
  <c r="E28" i="1"/>
  <c r="W28" i="1"/>
  <c r="Y28" i="1" s="1"/>
  <c r="T83" i="1"/>
  <c r="V83" i="1"/>
  <c r="E97" i="1"/>
  <c r="W97" i="1"/>
  <c r="M102" i="1"/>
  <c r="W102" i="1"/>
  <c r="Y102" i="1" s="1"/>
  <c r="Y80" i="1"/>
  <c r="I38" i="1"/>
  <c r="H38" i="1"/>
  <c r="L73" i="1"/>
  <c r="X90" i="1"/>
  <c r="X11" i="1"/>
  <c r="Y25" i="1"/>
  <c r="X51" i="1"/>
  <c r="X70" i="1"/>
  <c r="E12" i="1"/>
  <c r="H97" i="1"/>
  <c r="Y94" i="1"/>
  <c r="W78" i="1"/>
  <c r="Y78" i="1" s="1"/>
  <c r="E78" i="1"/>
  <c r="X41" i="1"/>
  <c r="F113" i="1"/>
  <c r="F114" i="1" s="1"/>
  <c r="W23" i="1"/>
  <c r="Y23" i="1" s="1"/>
  <c r="T48" i="1"/>
  <c r="H23" i="1"/>
  <c r="U83" i="1"/>
  <c r="U102" i="1"/>
  <c r="P88" i="1"/>
  <c r="J114" i="1"/>
  <c r="L12" i="1"/>
  <c r="I48" i="1"/>
  <c r="N113" i="1"/>
  <c r="P18" i="1"/>
  <c r="M38" i="1"/>
  <c r="P97" i="1"/>
  <c r="T11" i="1"/>
  <c r="R12" i="1"/>
  <c r="U11" i="1"/>
  <c r="Q12" i="1"/>
  <c r="Q33" i="1"/>
  <c r="X46" i="1"/>
  <c r="Y100" i="1"/>
  <c r="B113" i="1"/>
  <c r="V18" i="1"/>
  <c r="X18" i="1" s="1"/>
  <c r="D18" i="1"/>
  <c r="V33" i="1"/>
  <c r="X33" i="1" s="1"/>
  <c r="X40" i="1"/>
  <c r="T18" i="1"/>
  <c r="R113" i="1"/>
  <c r="T113" i="1" s="1"/>
  <c r="X23" i="1"/>
  <c r="X95" i="1"/>
  <c r="Y50" i="1"/>
  <c r="E48" i="1"/>
  <c r="W48" i="1"/>
  <c r="Y48" i="1" s="1"/>
  <c r="P102" i="1"/>
  <c r="Y53" i="1"/>
  <c r="M28" i="1"/>
  <c r="L28" i="1"/>
  <c r="W88" i="1"/>
  <c r="E88" i="1"/>
  <c r="T23" i="1"/>
  <c r="S113" i="1"/>
  <c r="U78" i="1"/>
  <c r="V38" i="1"/>
  <c r="X38" i="1" s="1"/>
  <c r="K113" i="1"/>
  <c r="M113" i="1" s="1"/>
  <c r="L23" i="1"/>
  <c r="V73" i="1"/>
  <c r="X73" i="1" s="1"/>
  <c r="Y66" i="1"/>
  <c r="X26" i="1"/>
  <c r="Y16" i="1"/>
  <c r="Y110" i="1"/>
  <c r="U97" i="1"/>
  <c r="C113" i="1"/>
  <c r="C114" i="1" s="1"/>
  <c r="L92" i="1"/>
  <c r="M92" i="1"/>
  <c r="M88" i="1"/>
  <c r="M97" i="1"/>
  <c r="L97" i="1"/>
  <c r="P38" i="1"/>
  <c r="M78" i="1"/>
  <c r="W107" i="1"/>
  <c r="U18" i="1"/>
  <c r="X75" i="1"/>
  <c r="W38" i="1"/>
  <c r="W73" i="1"/>
  <c r="M11" i="1"/>
  <c r="K12" i="1"/>
  <c r="P112" i="1"/>
  <c r="Q18" i="1"/>
  <c r="L58" i="1"/>
  <c r="L68" i="1"/>
  <c r="M68" i="1"/>
  <c r="M63" i="1"/>
  <c r="Y61" i="1"/>
  <c r="X91" i="1"/>
  <c r="Y91" i="1"/>
  <c r="W83" i="1"/>
  <c r="Y83" i="1" s="1"/>
  <c r="E83" i="1"/>
  <c r="D83" i="1"/>
  <c r="D43" i="1"/>
  <c r="V43" i="1"/>
  <c r="P58" i="1"/>
  <c r="Y109" i="1"/>
  <c r="E68" i="1"/>
  <c r="W68" i="1"/>
  <c r="X85" i="1"/>
  <c r="V78" i="1"/>
  <c r="D78" i="1"/>
  <c r="V48" i="1"/>
  <c r="V97" i="1"/>
  <c r="X97" i="1" s="1"/>
  <c r="W92" i="1"/>
  <c r="Y92" i="1" s="1"/>
  <c r="I68" i="1"/>
  <c r="I43" i="1"/>
  <c r="W43" i="1"/>
  <c r="Y43" i="1" s="1"/>
  <c r="O113" i="1"/>
  <c r="Q113" i="1" s="1"/>
  <c r="Q63" i="1"/>
  <c r="L102" i="1"/>
  <c r="X8" i="1"/>
  <c r="D68" i="1"/>
  <c r="V68" i="1"/>
  <c r="X68" i="1" s="1"/>
  <c r="L107" i="1"/>
  <c r="V58" i="1"/>
  <c r="X58" i="1" s="1"/>
  <c r="D58" i="1"/>
  <c r="V112" i="1"/>
  <c r="X112" i="1" s="1"/>
  <c r="D112" i="1"/>
  <c r="Y31" i="1"/>
  <c r="X31" i="1"/>
  <c r="U63" i="1"/>
  <c r="W58" i="1"/>
  <c r="E58" i="1"/>
  <c r="I73" i="1"/>
  <c r="Q78" i="1"/>
  <c r="W112" i="1"/>
  <c r="E112" i="1"/>
  <c r="D63" i="1"/>
  <c r="V63" i="1"/>
  <c r="X63" i="1" s="1"/>
  <c r="D88" i="1"/>
  <c r="V88" i="1"/>
  <c r="X88" i="1" s="1"/>
  <c r="D48" i="1"/>
  <c r="T88" i="1"/>
  <c r="V107" i="1"/>
  <c r="X107" i="1" s="1"/>
  <c r="E63" i="1"/>
  <c r="W63" i="1"/>
  <c r="X86" i="1"/>
  <c r="T43" i="1"/>
  <c r="X60" i="1"/>
  <c r="H33" i="1"/>
  <c r="D12" i="1"/>
  <c r="X76" i="1"/>
  <c r="G113" i="1"/>
  <c r="I18" i="1"/>
  <c r="D28" i="1"/>
  <c r="V28" i="1"/>
  <c r="Y55" i="1"/>
  <c r="X15" i="1"/>
  <c r="F115" i="1" l="1"/>
  <c r="C115" i="1"/>
  <c r="H113" i="1"/>
  <c r="J115" i="1"/>
  <c r="I113" i="1"/>
  <c r="G114" i="1"/>
  <c r="K114" i="1"/>
  <c r="M12" i="1"/>
  <c r="U113" i="1"/>
  <c r="S114" i="1"/>
  <c r="O114" i="1"/>
  <c r="W12" i="1"/>
  <c r="L113" i="1"/>
  <c r="V113" i="1"/>
  <c r="X113" i="1" s="1"/>
  <c r="D113" i="1"/>
  <c r="B114" i="1"/>
  <c r="E114" i="1" s="1"/>
  <c r="Y63" i="1"/>
  <c r="Y73" i="1"/>
  <c r="T12" i="1"/>
  <c r="R114" i="1"/>
  <c r="U12" i="1"/>
  <c r="X43" i="1"/>
  <c r="Y112" i="1"/>
  <c r="X78" i="1"/>
  <c r="Y38" i="1"/>
  <c r="X28" i="1"/>
  <c r="Y58" i="1"/>
  <c r="V12" i="1"/>
  <c r="X12" i="1" s="1"/>
  <c r="Y18" i="1"/>
  <c r="Y88" i="1"/>
  <c r="X92" i="1"/>
  <c r="Y33" i="1"/>
  <c r="Y97" i="1"/>
  <c r="P113" i="1"/>
  <c r="N114" i="1"/>
  <c r="X48" i="1"/>
  <c r="W113" i="1"/>
  <c r="E113" i="1"/>
  <c r="Y68" i="1"/>
  <c r="Y107" i="1"/>
  <c r="X83" i="1"/>
  <c r="X102" i="1"/>
  <c r="M114" i="1" l="1"/>
  <c r="K115" i="1"/>
  <c r="M115" i="1" s="1"/>
  <c r="L114" i="1"/>
  <c r="Y113" i="1"/>
  <c r="Y12" i="1"/>
  <c r="I114" i="1"/>
  <c r="G115" i="1"/>
  <c r="I115" i="1" s="1"/>
  <c r="L115" i="1"/>
  <c r="N115" i="1"/>
  <c r="P115" i="1" s="1"/>
  <c r="P114" i="1"/>
  <c r="O115" i="1"/>
  <c r="Q114" i="1"/>
  <c r="W114" i="1"/>
  <c r="R115" i="1"/>
  <c r="T114" i="1"/>
  <c r="S115" i="1"/>
  <c r="U115" i="1" s="1"/>
  <c r="U114" i="1"/>
  <c r="H115" i="1"/>
  <c r="V114" i="1"/>
  <c r="X114" i="1" s="1"/>
  <c r="B115" i="1"/>
  <c r="E115" i="1" s="1"/>
  <c r="D114" i="1"/>
  <c r="H114" i="1"/>
  <c r="W115" i="1" l="1"/>
  <c r="Y114" i="1"/>
  <c r="V115" i="1"/>
  <c r="X115" i="1" s="1"/>
  <c r="D115" i="1"/>
  <c r="T115" i="1"/>
  <c r="Q115" i="1"/>
  <c r="Y115" i="1" l="1"/>
</calcChain>
</file>

<file path=xl/sharedStrings.xml><?xml version="1.0" encoding="utf-8"?>
<sst xmlns="http://schemas.openxmlformats.org/spreadsheetml/2006/main" count="143" uniqueCount="123">
  <si>
    <t>Oct 2022</t>
  </si>
  <si>
    <t>Nov 2022</t>
  </si>
  <si>
    <t>Dec 2022</t>
  </si>
  <si>
    <t>Jan 2023</t>
  </si>
  <si>
    <t>Feb 2023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</si>
  <si>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</si>
  <si>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</si>
  <si>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</si>
  <si>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</si>
  <si>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</si>
  <si>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</si>
  <si>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</si>
  <si>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</si>
  <si>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4030-00 MCRS-MRS Grant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</si>
  <si>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</si>
  <si>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</si>
  <si>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</si>
  <si>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</si>
  <si>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</si>
  <si>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</si>
  <si>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</si>
  <si>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</si>
  <si>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</si>
  <si>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</si>
  <si>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</si>
  <si>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</si>
  <si>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</si>
  <si>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</si>
  <si>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</si>
  <si>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</si>
  <si>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</si>
  <si>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</si>
  <si>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</si>
  <si>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</si>
  <si>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</si>
  <si>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</si>
  <si>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</si>
  <si>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</si>
  <si>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</si>
  <si>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</si>
  <si>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</si>
  <si>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</si>
  <si>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</si>
  <si>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</si>
  <si>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</si>
  <si>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</si>
  <si>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</si>
  <si>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</si>
  <si>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</si>
  <si>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</si>
  <si>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</si>
  <si>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</si>
  <si>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</si>
  <si>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</si>
  <si>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</si>
  <si>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</si>
  <si>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</si>
  <si>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</si>
  <si>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</si>
  <si>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</si>
  <si>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</si>
  <si>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</si>
  <si>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</si>
  <si>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</si>
  <si>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</si>
  <si>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</si>
  <si>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</si>
  <si>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</si>
  <si>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</si>
  <si>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</si>
  <si>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</si>
  <si>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</si>
  <si>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</si>
  <si>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</si>
  <si>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</si>
  <si>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</si>
  <si>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</si>
  <si>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</si>
  <si>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</si>
  <si>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</si>
  <si>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</si>
  <si>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</si>
  <si>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</si>
  <si>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</si>
  <si>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</si>
  <si>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</si>
  <si>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</si>
  <si>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</si>
  <si>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</si>
  <si>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</si>
  <si>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</si>
  <si>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</si>
  <si>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</si>
  <si>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</si>
  <si>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</si>
  <si>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</si>
  <si>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</si>
  <si>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</si>
  <si>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</si>
  <si>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</si>
  <si>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</si>
  <si>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</si>
  <si>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</si>
  <si>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</si>
  <si>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</si>
  <si>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</si>
  <si>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</si>
  <si>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</si>
  <si>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</si>
  <si>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</si>
  <si>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</si>
  <si>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</si>
  <si>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</si>
  <si>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</si>
  <si>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</si>
  <si>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</si>
  <si>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</si>
  <si>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</si>
  <si>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</si>
  <si>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Monday, Mar 06, 2023 07:23:52 AM GMT-8 - Accrual Basis</t>
  </si>
  <si>
    <t>Michigan Statewide Independent Living Corp</t>
  </si>
  <si>
    <t xml:space="preserve">Budget vs. Actuals: FY2023 Budget - FY23 P&amp;L </t>
  </si>
  <si>
    <t>October 2022 -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</si>
</sst>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9"/>
  <sheetViews>
    <sheetView tabSelected="1" workbookViewId="0">
      <selection activeCell="C10" sqref="C10"/>
    </sheetView>
  </sheetViews>
  <sheetFormatPr defaultRowHeight="15" x14ac:dyDescent="0.25"/>
  <cols>
    <col min="1" max="1" width="36.140625" customWidth="1"/>
    <col min="2" max="3" width="9.42578125" customWidth="1"/>
    <col min="4" max="4" width="11.140625" customWidth="1"/>
    <col min="5" max="5" width="7.7109375" customWidth="1"/>
    <col min="6" max="7" width="9.42578125" customWidth="1"/>
    <col min="8" max="8" width="11.140625" customWidth="1"/>
    <col min="9" max="9" width="7.7109375" customWidth="1"/>
    <col min="10" max="11" width="9.42578125" customWidth="1"/>
    <col min="12" max="12" width="10.28515625" customWidth="1"/>
    <col min="13" max="13" width="7.7109375" customWidth="1"/>
    <col min="14" max="15" width="9.42578125" customWidth="1"/>
    <col min="16" max="16" width="10.28515625" customWidth="1"/>
    <col min="17" max="19" width="9.42578125" customWidth="1"/>
    <col min="20" max="20" width="10.28515625" customWidth="1"/>
    <col min="21" max="21" width="7.7109375" customWidth="1"/>
    <col min="22" max="23" width="10.28515625" customWidth="1"/>
    <col min="24" max="24" width="11.140625" customWidth="1"/>
    <col min="25" max="25" width="7.7109375" customWidth="1"/>
  </cols>
  <sheetData>
    <row r="1" spans="1:25" ht="18" x14ac:dyDescent="0.25">
      <c r="A1" s="12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x14ac:dyDescent="0.25">
      <c r="A2" s="12" t="s">
        <v>121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13" t="s">
        <v>122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5" spans="1:25" x14ac:dyDescent="0.25">
      <c r="A5" s="1"/>
      <c r="B5" s="14" t="s">
        <v>0</v>
      </c>
      <c r="C5" s="15"/>
      <c r="D5" s="15"/>
      <c r="E5" s="15"/>
      <c r="F5" s="14" t="s">
        <v>1</v>
      </c>
      <c r="G5" s="15"/>
      <c r="H5" s="15"/>
      <c r="I5" s="15"/>
      <c r="J5" s="14" t="s">
        <v>2</v>
      </c>
      <c r="K5" s="15"/>
      <c r="L5" s="15"/>
      <c r="M5" s="15"/>
      <c r="N5" s="14" t="s">
        <v>3</v>
      </c>
      <c r="O5" s="15"/>
      <c r="P5" s="15"/>
      <c r="Q5" s="15"/>
      <c r="R5" s="14" t="s">
        <v>4</v>
      </c>
      <c r="S5" s="15"/>
      <c r="T5" s="15"/>
      <c r="U5" s="15"/>
      <c r="V5" s="14" t="s">
        <v>5</v>
      </c>
      <c r="W5" s="15"/>
      <c r="X5" s="15"/>
      <c r="Y5" s="15"/>
    </row>
    <row r="6" spans="1:25" ht="24.75" x14ac:dyDescent="0.25">
      <c r="A6" s="1"/>
      <c r="B6" s="16" t="s">
        <v>6</v>
      </c>
      <c r="C6" s="16" t="s">
        <v>7</v>
      </c>
      <c r="D6" s="16" t="s">
        <v>8</v>
      </c>
      <c r="E6" s="16" t="s">
        <v>9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6</v>
      </c>
      <c r="K6" s="16" t="s">
        <v>7</v>
      </c>
      <c r="L6" s="16" t="s">
        <v>8</v>
      </c>
      <c r="M6" s="16" t="s">
        <v>9</v>
      </c>
      <c r="N6" s="16" t="s">
        <v>6</v>
      </c>
      <c r="O6" s="16" t="s">
        <v>7</v>
      </c>
      <c r="P6" s="16" t="s">
        <v>8</v>
      </c>
      <c r="Q6" s="16" t="s">
        <v>9</v>
      </c>
      <c r="R6" s="16" t="s">
        <v>6</v>
      </c>
      <c r="S6" s="16" t="s">
        <v>7</v>
      </c>
      <c r="T6" s="16" t="s">
        <v>8</v>
      </c>
      <c r="U6" s="16" t="s">
        <v>9</v>
      </c>
      <c r="V6" s="16" t="s">
        <v>6</v>
      </c>
      <c r="W6" s="16" t="s">
        <v>7</v>
      </c>
      <c r="X6" s="16" t="s">
        <v>8</v>
      </c>
      <c r="Y6" s="16" t="s">
        <v>9</v>
      </c>
    </row>
    <row r="7" spans="1:25" x14ac:dyDescent="0.25">
      <c r="A7" s="2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2" t="s">
        <v>11</v>
      </c>
      <c r="B8" s="4">
        <f>13557.21</f>
        <v>13557.21</v>
      </c>
      <c r="C8" s="4">
        <f>20934.75</f>
        <v>20934.75</v>
      </c>
      <c r="D8" s="4">
        <f>(B8)-(C8)</f>
        <v>-7377.5400000000009</v>
      </c>
      <c r="E8" s="5">
        <f>IF(C8=0,"",(B8)/(C8))</f>
        <v>0.64759359438254571</v>
      </c>
      <c r="F8" s="4">
        <f>15108.52</f>
        <v>15108.52</v>
      </c>
      <c r="G8" s="4">
        <f>20934.75</f>
        <v>20934.75</v>
      </c>
      <c r="H8" s="4">
        <f>(F8)-(G8)</f>
        <v>-5826.23</v>
      </c>
      <c r="I8" s="5">
        <f>IF(G8=0,"",(F8)/(G8))</f>
        <v>0.721695745112791</v>
      </c>
      <c r="J8" s="4">
        <f>21363.75</f>
        <v>21363.75</v>
      </c>
      <c r="K8" s="4">
        <f>20934.75</f>
        <v>20934.75</v>
      </c>
      <c r="L8" s="4">
        <f>(J8)-(K8)</f>
        <v>429</v>
      </c>
      <c r="M8" s="5">
        <f>IF(K8=0,"",(J8)/(K8))</f>
        <v>1.0204922437573891</v>
      </c>
      <c r="N8" s="4">
        <f>25689.93</f>
        <v>25689.93</v>
      </c>
      <c r="O8" s="4">
        <f>20934.75</f>
        <v>20934.75</v>
      </c>
      <c r="P8" s="4">
        <f>(N8)-(O8)</f>
        <v>4755.18</v>
      </c>
      <c r="Q8" s="5">
        <f>IF(O8=0,"",(N8)/(O8))</f>
        <v>1.2271429083222871</v>
      </c>
      <c r="R8" s="4">
        <f>16995.95</f>
        <v>16995.95</v>
      </c>
      <c r="S8" s="4">
        <f>20934.75</f>
        <v>20934.75</v>
      </c>
      <c r="T8" s="4">
        <f>(R8)-(S8)</f>
        <v>-3938.7999999999993</v>
      </c>
      <c r="U8" s="5">
        <f>IF(S8=0,"",(R8)/(S8))</f>
        <v>0.81185349717574851</v>
      </c>
      <c r="V8" s="4">
        <f t="shared" ref="V8:W12" si="0">((((B8)+(F8))+(J8))+(N8))+(R8)</f>
        <v>92715.36</v>
      </c>
      <c r="W8" s="4">
        <f t="shared" si="0"/>
        <v>104673.75</v>
      </c>
      <c r="X8" s="4">
        <f>(V8)-(W8)</f>
        <v>-11958.39</v>
      </c>
      <c r="Y8" s="5">
        <f>IF(W8=0,"",(V8)/(W8))</f>
        <v>0.88575559775015222</v>
      </c>
    </row>
    <row r="9" spans="1:25" x14ac:dyDescent="0.25">
      <c r="A9" s="2" t="s">
        <v>12</v>
      </c>
      <c r="B9" s="4">
        <f>7300.04</f>
        <v>7300.04</v>
      </c>
      <c r="C9" s="4">
        <f>11272.56</f>
        <v>11272.56</v>
      </c>
      <c r="D9" s="4">
        <f>(B9)-(C9)</f>
        <v>-3972.5199999999995</v>
      </c>
      <c r="E9" s="5">
        <f>IF(C9=0,"",(B9)/(C9))</f>
        <v>0.64759380300481884</v>
      </c>
      <c r="F9" s="4">
        <f>8135.35</f>
        <v>8135.35</v>
      </c>
      <c r="G9" s="4">
        <f>11272.56</f>
        <v>11272.56</v>
      </c>
      <c r="H9" s="4">
        <f>(F9)-(G9)</f>
        <v>-3137.2099999999991</v>
      </c>
      <c r="I9" s="5">
        <f>IF(G9=0,"",(F9)/(G9))</f>
        <v>0.72169498321587999</v>
      </c>
      <c r="J9" s="4">
        <f>11503.56</f>
        <v>11503.56</v>
      </c>
      <c r="K9" s="4">
        <f>11272.56</f>
        <v>11272.56</v>
      </c>
      <c r="L9" s="4">
        <f>(J9)-(K9)</f>
        <v>231</v>
      </c>
      <c r="M9" s="5">
        <f>IF(K9=0,"",(J9)/(K9))</f>
        <v>1.0204922395622644</v>
      </c>
      <c r="N9" s="4">
        <f>13833.04</f>
        <v>13833.04</v>
      </c>
      <c r="O9" s="4">
        <f>11272.56</f>
        <v>11272.56</v>
      </c>
      <c r="P9" s="4">
        <f>(N9)-(O9)</f>
        <v>2560.4800000000014</v>
      </c>
      <c r="Q9" s="5">
        <f>IF(O9=0,"",(N9)/(O9))</f>
        <v>1.2271427253436664</v>
      </c>
      <c r="R9" s="4">
        <f>9151.65</f>
        <v>9151.65</v>
      </c>
      <c r="S9" s="4">
        <f>11272.56</f>
        <v>11272.56</v>
      </c>
      <c r="T9" s="4">
        <f>(R9)-(S9)</f>
        <v>-2120.91</v>
      </c>
      <c r="U9" s="5">
        <f>IF(S9=0,"",(R9)/(S9))</f>
        <v>0.81185196619046607</v>
      </c>
      <c r="V9" s="4">
        <f t="shared" si="0"/>
        <v>49923.64</v>
      </c>
      <c r="W9" s="4">
        <f t="shared" si="0"/>
        <v>56362.799999999996</v>
      </c>
      <c r="X9" s="4">
        <f>(V9)-(W9)</f>
        <v>-6439.1599999999962</v>
      </c>
      <c r="Y9" s="5">
        <f>IF(W9=0,"",(V9)/(W9))</f>
        <v>0.88575514346341921</v>
      </c>
    </row>
    <row r="10" spans="1:25" x14ac:dyDescent="0.25">
      <c r="A10" s="2" t="s">
        <v>13</v>
      </c>
      <c r="B10" s="3"/>
      <c r="C10" s="4">
        <f>1666.67</f>
        <v>1666.67</v>
      </c>
      <c r="D10" s="4">
        <f>(B10)-(C10)</f>
        <v>-1666.67</v>
      </c>
      <c r="E10" s="5">
        <f>IF(C10=0,"",(B10)/(C10))</f>
        <v>0</v>
      </c>
      <c r="F10" s="3"/>
      <c r="G10" s="4">
        <f>1666.67</f>
        <v>1666.67</v>
      </c>
      <c r="H10" s="4">
        <f>(F10)-(G10)</f>
        <v>-1666.67</v>
      </c>
      <c r="I10" s="5">
        <f>IF(G10=0,"",(F10)/(G10))</f>
        <v>0</v>
      </c>
      <c r="J10" s="3"/>
      <c r="K10" s="4">
        <f>1666.67</f>
        <v>1666.67</v>
      </c>
      <c r="L10" s="4">
        <f>(J10)-(K10)</f>
        <v>-1666.67</v>
      </c>
      <c r="M10" s="5">
        <f>IF(K10=0,"",(J10)/(K10))</f>
        <v>0</v>
      </c>
      <c r="N10" s="3"/>
      <c r="O10" s="4">
        <f>1666.67</f>
        <v>1666.67</v>
      </c>
      <c r="P10" s="4">
        <f>(N10)-(O10)</f>
        <v>-1666.67</v>
      </c>
      <c r="Q10" s="5">
        <f>IF(O10=0,"",(N10)/(O10))</f>
        <v>0</v>
      </c>
      <c r="R10" s="3"/>
      <c r="S10" s="4">
        <f>1666.67</f>
        <v>1666.67</v>
      </c>
      <c r="T10" s="4">
        <f>(R10)-(S10)</f>
        <v>-1666.67</v>
      </c>
      <c r="U10" s="5">
        <f>IF(S10=0,"",(R10)/(S10))</f>
        <v>0</v>
      </c>
      <c r="V10" s="4">
        <f t="shared" si="0"/>
        <v>0</v>
      </c>
      <c r="W10" s="4">
        <f t="shared" si="0"/>
        <v>8333.35</v>
      </c>
      <c r="X10" s="4">
        <f>(V10)-(W10)</f>
        <v>-8333.35</v>
      </c>
      <c r="Y10" s="5">
        <f>IF(W10=0,"",(V10)/(W10))</f>
        <v>0</v>
      </c>
    </row>
    <row r="11" spans="1:25" x14ac:dyDescent="0.25">
      <c r="A11" s="2" t="s">
        <v>14</v>
      </c>
      <c r="B11" s="6">
        <f>((B8)+(B9))+(B10)</f>
        <v>20857.25</v>
      </c>
      <c r="C11" s="6">
        <f>((C8)+(C9))+(C10)</f>
        <v>33873.979999999996</v>
      </c>
      <c r="D11" s="6">
        <f>(B11)-(C11)</f>
        <v>-13016.729999999996</v>
      </c>
      <c r="E11" s="7">
        <f>IF(C11=0,"",(B11)/(C11))</f>
        <v>0.61573071720535943</v>
      </c>
      <c r="F11" s="6">
        <f>((F8)+(F9))+(F10)</f>
        <v>23243.870000000003</v>
      </c>
      <c r="G11" s="6">
        <f>((G8)+(G9))+(G10)</f>
        <v>33873.979999999996</v>
      </c>
      <c r="H11" s="6">
        <f>(F11)-(G11)</f>
        <v>-10630.109999999993</v>
      </c>
      <c r="I11" s="7">
        <f>IF(G11=0,"",(F11)/(G11))</f>
        <v>0.6861865656176217</v>
      </c>
      <c r="J11" s="6">
        <f>((J8)+(J9))+(J10)</f>
        <v>32867.31</v>
      </c>
      <c r="K11" s="6">
        <f>((K8)+(K9))+(K10)</f>
        <v>33873.979999999996</v>
      </c>
      <c r="L11" s="6">
        <f>(J11)-(K11)</f>
        <v>-1006.6699999999983</v>
      </c>
      <c r="M11" s="7">
        <f>IF(K11=0,"",(J11)/(K11))</f>
        <v>0.97028190959550664</v>
      </c>
      <c r="N11" s="6">
        <f>((N8)+(N9))+(N10)</f>
        <v>39522.97</v>
      </c>
      <c r="O11" s="6">
        <f>((O8)+(O9))+(O10)</f>
        <v>33873.979999999996</v>
      </c>
      <c r="P11" s="6">
        <f>(N11)-(O11)</f>
        <v>5648.9900000000052</v>
      </c>
      <c r="Q11" s="7">
        <f>IF(O11=0,"",(N11)/(O11))</f>
        <v>1.1667648738057945</v>
      </c>
      <c r="R11" s="6">
        <f>((R8)+(R9))+(R10)</f>
        <v>26147.599999999999</v>
      </c>
      <c r="S11" s="6">
        <f>((S8)+(S9))+(S10)</f>
        <v>33873.979999999996</v>
      </c>
      <c r="T11" s="6">
        <f>(R11)-(S11)</f>
        <v>-7726.3799999999974</v>
      </c>
      <c r="U11" s="7">
        <f>IF(S11=0,"",(R11)/(S11))</f>
        <v>0.77190811354319755</v>
      </c>
      <c r="V11" s="6">
        <f t="shared" si="0"/>
        <v>142639</v>
      </c>
      <c r="W11" s="6">
        <f t="shared" si="0"/>
        <v>169369.89999999997</v>
      </c>
      <c r="X11" s="6">
        <f>(V11)-(W11)</f>
        <v>-26730.899999999965</v>
      </c>
      <c r="Y11" s="7">
        <f>IF(W11=0,"",(V11)/(W11))</f>
        <v>0.84217443595349606</v>
      </c>
    </row>
    <row r="12" spans="1:25" x14ac:dyDescent="0.25">
      <c r="A12" s="2" t="s">
        <v>15</v>
      </c>
      <c r="B12" s="6">
        <f>(B11)-(0)</f>
        <v>20857.25</v>
      </c>
      <c r="C12" s="6">
        <f>(C11)-(0)</f>
        <v>33873.979999999996</v>
      </c>
      <c r="D12" s="6">
        <f>(B12)-(C12)</f>
        <v>-13016.729999999996</v>
      </c>
      <c r="E12" s="7">
        <f>IF(C12=0,"",(B12)/(C12))</f>
        <v>0.61573071720535943</v>
      </c>
      <c r="F12" s="6">
        <f>(F11)-(0)</f>
        <v>23243.870000000003</v>
      </c>
      <c r="G12" s="6">
        <f>(G11)-(0)</f>
        <v>33873.979999999996</v>
      </c>
      <c r="H12" s="6">
        <f>(F12)-(G12)</f>
        <v>-10630.109999999993</v>
      </c>
      <c r="I12" s="7">
        <f>IF(G12=0,"",(F12)/(G12))</f>
        <v>0.6861865656176217</v>
      </c>
      <c r="J12" s="6">
        <f>(J11)-(0)</f>
        <v>32867.31</v>
      </c>
      <c r="K12" s="6">
        <f>(K11)-(0)</f>
        <v>33873.979999999996</v>
      </c>
      <c r="L12" s="6">
        <f>(J12)-(K12)</f>
        <v>-1006.6699999999983</v>
      </c>
      <c r="M12" s="7">
        <f>IF(K12=0,"",(J12)/(K12))</f>
        <v>0.97028190959550664</v>
      </c>
      <c r="N12" s="6">
        <f>(N11)-(0)</f>
        <v>39522.97</v>
      </c>
      <c r="O12" s="6">
        <f>(O11)-(0)</f>
        <v>33873.979999999996</v>
      </c>
      <c r="P12" s="6">
        <f>(N12)-(O12)</f>
        <v>5648.9900000000052</v>
      </c>
      <c r="Q12" s="7">
        <f>IF(O12=0,"",(N12)/(O12))</f>
        <v>1.1667648738057945</v>
      </c>
      <c r="R12" s="6">
        <f>(R11)-(0)</f>
        <v>26147.599999999999</v>
      </c>
      <c r="S12" s="6">
        <f>(S11)-(0)</f>
        <v>33873.979999999996</v>
      </c>
      <c r="T12" s="6">
        <f>(R12)-(S12)</f>
        <v>-7726.3799999999974</v>
      </c>
      <c r="U12" s="7">
        <f>IF(S12=0,"",(R12)/(S12))</f>
        <v>0.77190811354319755</v>
      </c>
      <c r="V12" s="6">
        <f t="shared" si="0"/>
        <v>142639</v>
      </c>
      <c r="W12" s="6">
        <f t="shared" si="0"/>
        <v>169369.89999999997</v>
      </c>
      <c r="X12" s="6">
        <f>(V12)-(W12)</f>
        <v>-26730.899999999965</v>
      </c>
      <c r="Y12" s="7">
        <f>IF(W12=0,"",(V12)/(W12))</f>
        <v>0.84217443595349606</v>
      </c>
    </row>
    <row r="13" spans="1:25" x14ac:dyDescent="0.25">
      <c r="A13" s="2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2" t="s">
        <v>17</v>
      </c>
      <c r="B14" s="3"/>
      <c r="C14" s="3"/>
      <c r="D14" s="4">
        <f t="shared" ref="D14:D45" si="1">(B14)-(C14)</f>
        <v>0</v>
      </c>
      <c r="E14" s="5" t="str">
        <f t="shared" ref="E14:E45" si="2">IF(C14=0,"",(B14)/(C14))</f>
        <v/>
      </c>
      <c r="F14" s="3"/>
      <c r="G14" s="3"/>
      <c r="H14" s="4">
        <f t="shared" ref="H14:H45" si="3">(F14)-(G14)</f>
        <v>0</v>
      </c>
      <c r="I14" s="5" t="str">
        <f t="shared" ref="I14:I45" si="4">IF(G14=0,"",(F14)/(G14))</f>
        <v/>
      </c>
      <c r="J14" s="3"/>
      <c r="K14" s="3"/>
      <c r="L14" s="4">
        <f t="shared" ref="L14:L45" si="5">(J14)-(K14)</f>
        <v>0</v>
      </c>
      <c r="M14" s="5" t="str">
        <f t="shared" ref="M14:M45" si="6">IF(K14=0,"",(J14)/(K14))</f>
        <v/>
      </c>
      <c r="N14" s="3"/>
      <c r="O14" s="3"/>
      <c r="P14" s="4">
        <f t="shared" ref="P14:P45" si="7">(N14)-(O14)</f>
        <v>0</v>
      </c>
      <c r="Q14" s="5" t="str">
        <f t="shared" ref="Q14:Q45" si="8">IF(O14=0,"",(N14)/(O14))</f>
        <v/>
      </c>
      <c r="R14" s="3"/>
      <c r="S14" s="3"/>
      <c r="T14" s="4">
        <f t="shared" ref="T14:T45" si="9">(R14)-(S14)</f>
        <v>0</v>
      </c>
      <c r="U14" s="5" t="str">
        <f t="shared" ref="U14:U45" si="10">IF(S14=0,"",(R14)/(S14))</f>
        <v/>
      </c>
      <c r="V14" s="4">
        <f t="shared" ref="V14:V45" si="11">((((B14)+(F14))+(J14))+(N14))+(R14)</f>
        <v>0</v>
      </c>
      <c r="W14" s="4">
        <f t="shared" ref="W14:W45" si="12">((((C14)+(G14))+(K14))+(O14))+(S14)</f>
        <v>0</v>
      </c>
      <c r="X14" s="4">
        <f t="shared" ref="X14:X45" si="13">(V14)-(W14)</f>
        <v>0</v>
      </c>
      <c r="Y14" s="5" t="str">
        <f t="shared" ref="Y14:Y45" si="14">IF(W14=0,"",(V14)/(W14))</f>
        <v/>
      </c>
    </row>
    <row r="15" spans="1:25" x14ac:dyDescent="0.25">
      <c r="A15" s="2" t="s">
        <v>18</v>
      </c>
      <c r="B15" s="4">
        <f>4069.52</f>
        <v>4069.52</v>
      </c>
      <c r="C15" s="4">
        <f>8964.19</f>
        <v>8964.19</v>
      </c>
      <c r="D15" s="4">
        <f t="shared" si="1"/>
        <v>-4894.67</v>
      </c>
      <c r="E15" s="5">
        <f t="shared" si="2"/>
        <v>0.45397520579104189</v>
      </c>
      <c r="F15" s="4">
        <f>8139.04</f>
        <v>8139.04</v>
      </c>
      <c r="G15" s="4">
        <f>8964.19</f>
        <v>8964.19</v>
      </c>
      <c r="H15" s="4">
        <f t="shared" si="3"/>
        <v>-825.15000000000055</v>
      </c>
      <c r="I15" s="5">
        <f t="shared" si="4"/>
        <v>0.90795041158208378</v>
      </c>
      <c r="J15" s="4">
        <f>12208.56</f>
        <v>12208.56</v>
      </c>
      <c r="K15" s="4">
        <f>8964.19</f>
        <v>8964.19</v>
      </c>
      <c r="L15" s="4">
        <f t="shared" si="5"/>
        <v>3244.369999999999</v>
      </c>
      <c r="M15" s="5">
        <f t="shared" si="6"/>
        <v>1.3619256173731256</v>
      </c>
      <c r="N15" s="4">
        <f>8139.04</f>
        <v>8139.04</v>
      </c>
      <c r="O15" s="4">
        <f>8964.19</f>
        <v>8964.19</v>
      </c>
      <c r="P15" s="4">
        <f t="shared" si="7"/>
        <v>-825.15000000000055</v>
      </c>
      <c r="Q15" s="5">
        <f t="shared" si="8"/>
        <v>0.90795041158208378</v>
      </c>
      <c r="R15" s="4">
        <f>8139.04</f>
        <v>8139.04</v>
      </c>
      <c r="S15" s="4">
        <f>8964.19</f>
        <v>8964.19</v>
      </c>
      <c r="T15" s="4">
        <f t="shared" si="9"/>
        <v>-825.15000000000055</v>
      </c>
      <c r="U15" s="5">
        <f t="shared" si="10"/>
        <v>0.90795041158208378</v>
      </c>
      <c r="V15" s="4">
        <f t="shared" si="11"/>
        <v>40695.199999999997</v>
      </c>
      <c r="W15" s="4">
        <f t="shared" si="12"/>
        <v>44820.950000000004</v>
      </c>
      <c r="X15" s="4">
        <f t="shared" si="13"/>
        <v>-4125.7500000000073</v>
      </c>
      <c r="Y15" s="5">
        <f t="shared" si="14"/>
        <v>0.90795041158208367</v>
      </c>
    </row>
    <row r="16" spans="1:25" x14ac:dyDescent="0.25">
      <c r="A16" s="2" t="s">
        <v>19</v>
      </c>
      <c r="B16" s="4">
        <f>2191.28</f>
        <v>2191.2800000000002</v>
      </c>
      <c r="C16" s="4">
        <f>4826.87</f>
        <v>4826.87</v>
      </c>
      <c r="D16" s="4">
        <f t="shared" si="1"/>
        <v>-2635.5899999999997</v>
      </c>
      <c r="E16" s="5">
        <f t="shared" si="2"/>
        <v>0.45397535048592569</v>
      </c>
      <c r="F16" s="4">
        <f>4382.56</f>
        <v>4382.5600000000004</v>
      </c>
      <c r="G16" s="4">
        <f>4826.87</f>
        <v>4826.87</v>
      </c>
      <c r="H16" s="4">
        <f t="shared" si="3"/>
        <v>-444.30999999999949</v>
      </c>
      <c r="I16" s="5">
        <f t="shared" si="4"/>
        <v>0.90795070097185138</v>
      </c>
      <c r="J16" s="4">
        <f>6573.84</f>
        <v>6573.84</v>
      </c>
      <c r="K16" s="4">
        <f>4826.87</f>
        <v>4826.87</v>
      </c>
      <c r="L16" s="4">
        <f t="shared" si="5"/>
        <v>1746.9700000000003</v>
      </c>
      <c r="M16" s="5">
        <f t="shared" si="6"/>
        <v>1.3619260514577771</v>
      </c>
      <c r="N16" s="4">
        <f>4382.56</f>
        <v>4382.5600000000004</v>
      </c>
      <c r="O16" s="4">
        <f>4826.87</f>
        <v>4826.87</v>
      </c>
      <c r="P16" s="4">
        <f t="shared" si="7"/>
        <v>-444.30999999999949</v>
      </c>
      <c r="Q16" s="5">
        <f t="shared" si="8"/>
        <v>0.90795070097185138</v>
      </c>
      <c r="R16" s="4">
        <f>4382.56</f>
        <v>4382.5600000000004</v>
      </c>
      <c r="S16" s="4">
        <f>4826.87</f>
        <v>4826.87</v>
      </c>
      <c r="T16" s="4">
        <f t="shared" si="9"/>
        <v>-444.30999999999949</v>
      </c>
      <c r="U16" s="5">
        <f t="shared" si="10"/>
        <v>0.90795070097185138</v>
      </c>
      <c r="V16" s="4">
        <f t="shared" si="11"/>
        <v>21912.800000000003</v>
      </c>
      <c r="W16" s="4">
        <f t="shared" si="12"/>
        <v>24134.35</v>
      </c>
      <c r="X16" s="4">
        <f t="shared" si="13"/>
        <v>-2221.5499999999956</v>
      </c>
      <c r="Y16" s="5">
        <f t="shared" si="14"/>
        <v>0.90795070097185149</v>
      </c>
    </row>
    <row r="17" spans="1:25" x14ac:dyDescent="0.25">
      <c r="A17" s="2" t="s">
        <v>20</v>
      </c>
      <c r="B17" s="4">
        <f>0</f>
        <v>0</v>
      </c>
      <c r="C17" s="3"/>
      <c r="D17" s="4">
        <f t="shared" si="1"/>
        <v>0</v>
      </c>
      <c r="E17" s="5" t="str">
        <f t="shared" si="2"/>
        <v/>
      </c>
      <c r="F17" s="4">
        <f>0</f>
        <v>0</v>
      </c>
      <c r="G17" s="3"/>
      <c r="H17" s="4">
        <f t="shared" si="3"/>
        <v>0</v>
      </c>
      <c r="I17" s="5" t="str">
        <f t="shared" si="4"/>
        <v/>
      </c>
      <c r="J17" s="4">
        <f>0</f>
        <v>0</v>
      </c>
      <c r="K17" s="3"/>
      <c r="L17" s="4">
        <f t="shared" si="5"/>
        <v>0</v>
      </c>
      <c r="M17" s="5" t="str">
        <f t="shared" si="6"/>
        <v/>
      </c>
      <c r="N17" s="4">
        <f>0</f>
        <v>0</v>
      </c>
      <c r="O17" s="3"/>
      <c r="P17" s="4">
        <f t="shared" si="7"/>
        <v>0</v>
      </c>
      <c r="Q17" s="5" t="str">
        <f t="shared" si="8"/>
        <v/>
      </c>
      <c r="R17" s="4">
        <f>0</f>
        <v>0</v>
      </c>
      <c r="S17" s="3"/>
      <c r="T17" s="4">
        <f t="shared" si="9"/>
        <v>0</v>
      </c>
      <c r="U17" s="5" t="str">
        <f t="shared" si="10"/>
        <v/>
      </c>
      <c r="V17" s="4">
        <f t="shared" si="11"/>
        <v>0</v>
      </c>
      <c r="W17" s="4">
        <f t="shared" si="12"/>
        <v>0</v>
      </c>
      <c r="X17" s="4">
        <f t="shared" si="13"/>
        <v>0</v>
      </c>
      <c r="Y17" s="5" t="str">
        <f t="shared" si="14"/>
        <v/>
      </c>
    </row>
    <row r="18" spans="1:25" x14ac:dyDescent="0.25">
      <c r="A18" s="2" t="s">
        <v>21</v>
      </c>
      <c r="B18" s="6">
        <f>(((B14)+(B15))+(B16))+(B17)</f>
        <v>6260.8</v>
      </c>
      <c r="C18" s="6">
        <f>(((C14)+(C15))+(C16))+(C17)</f>
        <v>13791.060000000001</v>
      </c>
      <c r="D18" s="6">
        <f t="shared" si="1"/>
        <v>-7530.2600000000011</v>
      </c>
      <c r="E18" s="7">
        <f t="shared" si="2"/>
        <v>0.45397525643424069</v>
      </c>
      <c r="F18" s="6">
        <f>(((F14)+(F15))+(F16))+(F17)</f>
        <v>12521.6</v>
      </c>
      <c r="G18" s="6">
        <f>(((G14)+(G15))+(G16))+(G17)</f>
        <v>13791.060000000001</v>
      </c>
      <c r="H18" s="6">
        <f t="shared" si="3"/>
        <v>-1269.4600000000009</v>
      </c>
      <c r="I18" s="7">
        <f t="shared" si="4"/>
        <v>0.90795051286848139</v>
      </c>
      <c r="J18" s="6">
        <f>(((J14)+(J15))+(J16))+(J17)</f>
        <v>18782.400000000001</v>
      </c>
      <c r="K18" s="6">
        <f>(((K14)+(K15))+(K16))+(K17)</f>
        <v>13791.060000000001</v>
      </c>
      <c r="L18" s="6">
        <f t="shared" si="5"/>
        <v>4991.34</v>
      </c>
      <c r="M18" s="7">
        <f t="shared" si="6"/>
        <v>1.3619257693027222</v>
      </c>
      <c r="N18" s="6">
        <f>(((N14)+(N15))+(N16))+(N17)</f>
        <v>12521.6</v>
      </c>
      <c r="O18" s="6">
        <f>(((O14)+(O15))+(O16))+(O17)</f>
        <v>13791.060000000001</v>
      </c>
      <c r="P18" s="6">
        <f t="shared" si="7"/>
        <v>-1269.4600000000009</v>
      </c>
      <c r="Q18" s="7">
        <f t="shared" si="8"/>
        <v>0.90795051286848139</v>
      </c>
      <c r="R18" s="6">
        <f>(((R14)+(R15))+(R16))+(R17)</f>
        <v>12521.6</v>
      </c>
      <c r="S18" s="6">
        <f>(((S14)+(S15))+(S16))+(S17)</f>
        <v>13791.060000000001</v>
      </c>
      <c r="T18" s="6">
        <f t="shared" si="9"/>
        <v>-1269.4600000000009</v>
      </c>
      <c r="U18" s="7">
        <f t="shared" si="10"/>
        <v>0.90795051286848139</v>
      </c>
      <c r="V18" s="6">
        <f t="shared" si="11"/>
        <v>62608</v>
      </c>
      <c r="W18" s="6">
        <f t="shared" si="12"/>
        <v>68955.3</v>
      </c>
      <c r="X18" s="6">
        <f t="shared" si="13"/>
        <v>-6347.3000000000029</v>
      </c>
      <c r="Y18" s="7">
        <f t="shared" si="14"/>
        <v>0.90795051286848139</v>
      </c>
    </row>
    <row r="19" spans="1:25" x14ac:dyDescent="0.25">
      <c r="A19" s="2" t="s">
        <v>22</v>
      </c>
      <c r="B19" s="3"/>
      <c r="C19" s="3"/>
      <c r="D19" s="4">
        <f t="shared" si="1"/>
        <v>0</v>
      </c>
      <c r="E19" s="5" t="str">
        <f t="shared" si="2"/>
        <v/>
      </c>
      <c r="F19" s="3"/>
      <c r="G19" s="3"/>
      <c r="H19" s="4">
        <f t="shared" si="3"/>
        <v>0</v>
      </c>
      <c r="I19" s="5" t="str">
        <f t="shared" si="4"/>
        <v/>
      </c>
      <c r="J19" s="3"/>
      <c r="K19" s="3"/>
      <c r="L19" s="4">
        <f t="shared" si="5"/>
        <v>0</v>
      </c>
      <c r="M19" s="5" t="str">
        <f t="shared" si="6"/>
        <v/>
      </c>
      <c r="N19" s="3"/>
      <c r="O19" s="3"/>
      <c r="P19" s="4">
        <f t="shared" si="7"/>
        <v>0</v>
      </c>
      <c r="Q19" s="5" t="str">
        <f t="shared" si="8"/>
        <v/>
      </c>
      <c r="R19" s="3"/>
      <c r="S19" s="3"/>
      <c r="T19" s="4">
        <f t="shared" si="9"/>
        <v>0</v>
      </c>
      <c r="U19" s="5" t="str">
        <f t="shared" si="10"/>
        <v/>
      </c>
      <c r="V19" s="4">
        <f t="shared" si="11"/>
        <v>0</v>
      </c>
      <c r="W19" s="4">
        <f t="shared" si="12"/>
        <v>0</v>
      </c>
      <c r="X19" s="4">
        <f t="shared" si="13"/>
        <v>0</v>
      </c>
      <c r="Y19" s="5" t="str">
        <f t="shared" si="14"/>
        <v/>
      </c>
    </row>
    <row r="20" spans="1:25" x14ac:dyDescent="0.25">
      <c r="A20" s="2" t="s">
        <v>23</v>
      </c>
      <c r="B20" s="4">
        <f>461.97</f>
        <v>461.97</v>
      </c>
      <c r="C20" s="4">
        <f>555.78</f>
        <v>555.78</v>
      </c>
      <c r="D20" s="4">
        <f t="shared" si="1"/>
        <v>-93.809999999999945</v>
      </c>
      <c r="E20" s="5">
        <f t="shared" si="2"/>
        <v>0.83121019108280259</v>
      </c>
      <c r="F20" s="4">
        <f>481.48</f>
        <v>481.48</v>
      </c>
      <c r="G20" s="4">
        <f>555.78</f>
        <v>555.78</v>
      </c>
      <c r="H20" s="4">
        <f t="shared" si="3"/>
        <v>-74.299999999999955</v>
      </c>
      <c r="I20" s="5">
        <f t="shared" si="4"/>
        <v>0.86631400914030743</v>
      </c>
      <c r="J20" s="4">
        <f>722.22</f>
        <v>722.22</v>
      </c>
      <c r="K20" s="4">
        <f>555.78</f>
        <v>555.78</v>
      </c>
      <c r="L20" s="4">
        <f t="shared" si="5"/>
        <v>166.44000000000005</v>
      </c>
      <c r="M20" s="5">
        <f t="shared" si="6"/>
        <v>1.299471013710461</v>
      </c>
      <c r="N20" s="4">
        <f>481.48</f>
        <v>481.48</v>
      </c>
      <c r="O20" s="4">
        <f>555.78</f>
        <v>555.78</v>
      </c>
      <c r="P20" s="4">
        <f t="shared" si="7"/>
        <v>-74.299999999999955</v>
      </c>
      <c r="Q20" s="5">
        <f t="shared" si="8"/>
        <v>0.86631400914030743</v>
      </c>
      <c r="R20" s="4">
        <f>481.48</f>
        <v>481.48</v>
      </c>
      <c r="S20" s="4">
        <f>555.78</f>
        <v>555.78</v>
      </c>
      <c r="T20" s="4">
        <f t="shared" si="9"/>
        <v>-74.299999999999955</v>
      </c>
      <c r="U20" s="5">
        <f t="shared" si="10"/>
        <v>0.86631400914030743</v>
      </c>
      <c r="V20" s="4">
        <f t="shared" si="11"/>
        <v>2628.63</v>
      </c>
      <c r="W20" s="4">
        <f t="shared" si="12"/>
        <v>2778.8999999999996</v>
      </c>
      <c r="X20" s="4">
        <f t="shared" si="13"/>
        <v>-150.26999999999953</v>
      </c>
      <c r="Y20" s="5">
        <f t="shared" si="14"/>
        <v>0.94592464644283725</v>
      </c>
    </row>
    <row r="21" spans="1:25" x14ac:dyDescent="0.25">
      <c r="A21" s="2" t="s">
        <v>24</v>
      </c>
      <c r="B21" s="4">
        <f>248.76</f>
        <v>248.76</v>
      </c>
      <c r="C21" s="4">
        <f>299.27</f>
        <v>299.27</v>
      </c>
      <c r="D21" s="4">
        <f t="shared" si="1"/>
        <v>-50.509999999999991</v>
      </c>
      <c r="E21" s="5">
        <f t="shared" si="2"/>
        <v>0.83122264176161997</v>
      </c>
      <c r="F21" s="4">
        <f>259.26</f>
        <v>259.26</v>
      </c>
      <c r="G21" s="4">
        <f>299.27</f>
        <v>299.27</v>
      </c>
      <c r="H21" s="4">
        <f t="shared" si="3"/>
        <v>-40.009999999999991</v>
      </c>
      <c r="I21" s="5">
        <f t="shared" si="4"/>
        <v>0.86630801617268693</v>
      </c>
      <c r="J21" s="4">
        <f>388.89</f>
        <v>388.89</v>
      </c>
      <c r="K21" s="4">
        <f>299.27</f>
        <v>299.27</v>
      </c>
      <c r="L21" s="4">
        <f t="shared" si="5"/>
        <v>89.62</v>
      </c>
      <c r="M21" s="5">
        <f t="shared" si="6"/>
        <v>1.2994620242590302</v>
      </c>
      <c r="N21" s="4">
        <f>259.26</f>
        <v>259.26</v>
      </c>
      <c r="O21" s="4">
        <f>299.27</f>
        <v>299.27</v>
      </c>
      <c r="P21" s="4">
        <f t="shared" si="7"/>
        <v>-40.009999999999991</v>
      </c>
      <c r="Q21" s="5">
        <f t="shared" si="8"/>
        <v>0.86630801617268693</v>
      </c>
      <c r="R21" s="4">
        <f>259.26</f>
        <v>259.26</v>
      </c>
      <c r="S21" s="4">
        <f>299.27</f>
        <v>299.27</v>
      </c>
      <c r="T21" s="4">
        <f t="shared" si="9"/>
        <v>-40.009999999999991</v>
      </c>
      <c r="U21" s="5">
        <f t="shared" si="10"/>
        <v>0.86630801617268693</v>
      </c>
      <c r="V21" s="4">
        <f t="shared" si="11"/>
        <v>1415.43</v>
      </c>
      <c r="W21" s="4">
        <f t="shared" si="12"/>
        <v>1496.35</v>
      </c>
      <c r="X21" s="4">
        <f t="shared" si="13"/>
        <v>-80.919999999999845</v>
      </c>
      <c r="Y21" s="5">
        <f t="shared" si="14"/>
        <v>0.94592174290774222</v>
      </c>
    </row>
    <row r="22" spans="1:25" x14ac:dyDescent="0.25">
      <c r="A22" s="2" t="s">
        <v>25</v>
      </c>
      <c r="B22" s="4">
        <f>0</f>
        <v>0</v>
      </c>
      <c r="C22" s="3"/>
      <c r="D22" s="4">
        <f t="shared" si="1"/>
        <v>0</v>
      </c>
      <c r="E22" s="5" t="str">
        <f t="shared" si="2"/>
        <v/>
      </c>
      <c r="F22" s="4">
        <f>0</f>
        <v>0</v>
      </c>
      <c r="G22" s="3"/>
      <c r="H22" s="4">
        <f t="shared" si="3"/>
        <v>0</v>
      </c>
      <c r="I22" s="5" t="str">
        <f t="shared" si="4"/>
        <v/>
      </c>
      <c r="J22" s="4">
        <f>0</f>
        <v>0</v>
      </c>
      <c r="K22" s="3"/>
      <c r="L22" s="4">
        <f t="shared" si="5"/>
        <v>0</v>
      </c>
      <c r="M22" s="5" t="str">
        <f t="shared" si="6"/>
        <v/>
      </c>
      <c r="N22" s="4">
        <f>0</f>
        <v>0</v>
      </c>
      <c r="O22" s="3"/>
      <c r="P22" s="4">
        <f t="shared" si="7"/>
        <v>0</v>
      </c>
      <c r="Q22" s="5" t="str">
        <f t="shared" si="8"/>
        <v/>
      </c>
      <c r="R22" s="4">
        <f>0</f>
        <v>0</v>
      </c>
      <c r="S22" s="3"/>
      <c r="T22" s="4">
        <f t="shared" si="9"/>
        <v>0</v>
      </c>
      <c r="U22" s="5" t="str">
        <f t="shared" si="10"/>
        <v/>
      </c>
      <c r="V22" s="4">
        <f t="shared" si="11"/>
        <v>0</v>
      </c>
      <c r="W22" s="4">
        <f t="shared" si="12"/>
        <v>0</v>
      </c>
      <c r="X22" s="4">
        <f t="shared" si="13"/>
        <v>0</v>
      </c>
      <c r="Y22" s="5" t="str">
        <f t="shared" si="14"/>
        <v/>
      </c>
    </row>
    <row r="23" spans="1:25" x14ac:dyDescent="0.25">
      <c r="A23" s="2" t="s">
        <v>26</v>
      </c>
      <c r="B23" s="6">
        <f>(((B19)+(B20))+(B21))+(B22)</f>
        <v>710.73</v>
      </c>
      <c r="C23" s="6">
        <f>(((C19)+(C20))+(C21))+(C22)</f>
        <v>855.05</v>
      </c>
      <c r="D23" s="6">
        <f t="shared" si="1"/>
        <v>-144.31999999999994</v>
      </c>
      <c r="E23" s="7">
        <f t="shared" si="2"/>
        <v>0.83121454885679202</v>
      </c>
      <c r="F23" s="6">
        <f>(((F19)+(F20))+(F21))+(F22)</f>
        <v>740.74</v>
      </c>
      <c r="G23" s="6">
        <f>(((G19)+(G20))+(G21))+(G22)</f>
        <v>855.05</v>
      </c>
      <c r="H23" s="6">
        <f t="shared" si="3"/>
        <v>-114.30999999999995</v>
      </c>
      <c r="I23" s="7">
        <f t="shared" si="4"/>
        <v>0.86631191158411791</v>
      </c>
      <c r="J23" s="6">
        <f>(((J19)+(J20))+(J21))+(J22)</f>
        <v>1111.1100000000001</v>
      </c>
      <c r="K23" s="6">
        <f>(((K19)+(K20))+(K21))+(K22)</f>
        <v>855.05</v>
      </c>
      <c r="L23" s="6">
        <f t="shared" si="5"/>
        <v>256.06000000000017</v>
      </c>
      <c r="M23" s="7">
        <f t="shared" si="6"/>
        <v>1.299467867376177</v>
      </c>
      <c r="N23" s="6">
        <f>(((N19)+(N20))+(N21))+(N22)</f>
        <v>740.74</v>
      </c>
      <c r="O23" s="6">
        <f>(((O19)+(O20))+(O21))+(O22)</f>
        <v>855.05</v>
      </c>
      <c r="P23" s="6">
        <f t="shared" si="7"/>
        <v>-114.30999999999995</v>
      </c>
      <c r="Q23" s="7">
        <f t="shared" si="8"/>
        <v>0.86631191158411791</v>
      </c>
      <c r="R23" s="6">
        <f>(((R19)+(R20))+(R21))+(R22)</f>
        <v>740.74</v>
      </c>
      <c r="S23" s="6">
        <f>(((S19)+(S20))+(S21))+(S22)</f>
        <v>855.05</v>
      </c>
      <c r="T23" s="6">
        <f t="shared" si="9"/>
        <v>-114.30999999999995</v>
      </c>
      <c r="U23" s="7">
        <f t="shared" si="10"/>
        <v>0.86631191158411791</v>
      </c>
      <c r="V23" s="6">
        <f t="shared" si="11"/>
        <v>4044.0599999999995</v>
      </c>
      <c r="W23" s="6">
        <f t="shared" si="12"/>
        <v>4275.25</v>
      </c>
      <c r="X23" s="6">
        <f t="shared" si="13"/>
        <v>-231.19000000000051</v>
      </c>
      <c r="Y23" s="7">
        <f t="shared" si="14"/>
        <v>0.94592363019706438</v>
      </c>
    </row>
    <row r="24" spans="1:25" x14ac:dyDescent="0.25">
      <c r="A24" s="2" t="s">
        <v>27</v>
      </c>
      <c r="B24" s="3"/>
      <c r="C24" s="3"/>
      <c r="D24" s="4">
        <f t="shared" si="1"/>
        <v>0</v>
      </c>
      <c r="E24" s="5" t="str">
        <f t="shared" si="2"/>
        <v/>
      </c>
      <c r="F24" s="3"/>
      <c r="G24" s="3"/>
      <c r="H24" s="4">
        <f t="shared" si="3"/>
        <v>0</v>
      </c>
      <c r="I24" s="5" t="str">
        <f t="shared" si="4"/>
        <v/>
      </c>
      <c r="J24" s="3"/>
      <c r="K24" s="3"/>
      <c r="L24" s="4">
        <f t="shared" si="5"/>
        <v>0</v>
      </c>
      <c r="M24" s="5" t="str">
        <f t="shared" si="6"/>
        <v/>
      </c>
      <c r="N24" s="3"/>
      <c r="O24" s="3"/>
      <c r="P24" s="4">
        <f t="shared" si="7"/>
        <v>0</v>
      </c>
      <c r="Q24" s="5" t="str">
        <f t="shared" si="8"/>
        <v/>
      </c>
      <c r="R24" s="3"/>
      <c r="S24" s="3"/>
      <c r="T24" s="4">
        <f t="shared" si="9"/>
        <v>0</v>
      </c>
      <c r="U24" s="5" t="str">
        <f t="shared" si="10"/>
        <v/>
      </c>
      <c r="V24" s="4">
        <f t="shared" si="11"/>
        <v>0</v>
      </c>
      <c r="W24" s="4">
        <f t="shared" si="12"/>
        <v>0</v>
      </c>
      <c r="X24" s="4">
        <f t="shared" si="13"/>
        <v>0</v>
      </c>
      <c r="Y24" s="5" t="str">
        <f t="shared" si="14"/>
        <v/>
      </c>
    </row>
    <row r="25" spans="1:25" x14ac:dyDescent="0.25">
      <c r="A25" s="2" t="s">
        <v>28</v>
      </c>
      <c r="B25" s="4">
        <f>108.04</f>
        <v>108.04</v>
      </c>
      <c r="C25" s="4">
        <f>129.98</f>
        <v>129.97999999999999</v>
      </c>
      <c r="D25" s="4">
        <f t="shared" si="1"/>
        <v>-21.939999999999984</v>
      </c>
      <c r="E25" s="5">
        <f t="shared" si="2"/>
        <v>0.83120480073857528</v>
      </c>
      <c r="F25" s="4">
        <f>112.61</f>
        <v>112.61</v>
      </c>
      <c r="G25" s="4">
        <f>129.98</f>
        <v>129.97999999999999</v>
      </c>
      <c r="H25" s="4">
        <f t="shared" si="3"/>
        <v>-17.36999999999999</v>
      </c>
      <c r="I25" s="5">
        <f t="shared" si="4"/>
        <v>0.86636405600861677</v>
      </c>
      <c r="J25" s="4">
        <f>168.91</f>
        <v>168.91</v>
      </c>
      <c r="K25" s="4">
        <f>129.98</f>
        <v>129.97999999999999</v>
      </c>
      <c r="L25" s="4">
        <f t="shared" si="5"/>
        <v>38.930000000000007</v>
      </c>
      <c r="M25" s="5">
        <f t="shared" si="6"/>
        <v>1.2995076165563935</v>
      </c>
      <c r="N25" s="4">
        <f>112.61</f>
        <v>112.61</v>
      </c>
      <c r="O25" s="4">
        <f>129.98</f>
        <v>129.97999999999999</v>
      </c>
      <c r="P25" s="4">
        <f t="shared" si="7"/>
        <v>-17.36999999999999</v>
      </c>
      <c r="Q25" s="5">
        <f t="shared" si="8"/>
        <v>0.86636405600861677</v>
      </c>
      <c r="R25" s="4">
        <f>112.61</f>
        <v>112.61</v>
      </c>
      <c r="S25" s="4">
        <f>129.98</f>
        <v>129.97999999999999</v>
      </c>
      <c r="T25" s="4">
        <f t="shared" si="9"/>
        <v>-17.36999999999999</v>
      </c>
      <c r="U25" s="5">
        <f t="shared" si="10"/>
        <v>0.86636405600861677</v>
      </c>
      <c r="V25" s="4">
        <f t="shared" si="11"/>
        <v>614.78</v>
      </c>
      <c r="W25" s="4">
        <f t="shared" si="12"/>
        <v>649.9</v>
      </c>
      <c r="X25" s="4">
        <f t="shared" si="13"/>
        <v>-35.120000000000005</v>
      </c>
      <c r="Y25" s="5">
        <f t="shared" si="14"/>
        <v>0.94596091706416374</v>
      </c>
    </row>
    <row r="26" spans="1:25" x14ac:dyDescent="0.25">
      <c r="A26" s="2" t="s">
        <v>29</v>
      </c>
      <c r="B26" s="4">
        <f>58.18</f>
        <v>58.18</v>
      </c>
      <c r="C26" s="4">
        <f>69.99</f>
        <v>69.989999999999995</v>
      </c>
      <c r="D26" s="4">
        <f t="shared" si="1"/>
        <v>-11.809999999999995</v>
      </c>
      <c r="E26" s="5">
        <f t="shared" si="2"/>
        <v>0.83126160880125743</v>
      </c>
      <c r="F26" s="4">
        <f>60.63</f>
        <v>60.63</v>
      </c>
      <c r="G26" s="4">
        <f>69.99</f>
        <v>69.989999999999995</v>
      </c>
      <c r="H26" s="4">
        <f t="shared" si="3"/>
        <v>-9.3599999999999923</v>
      </c>
      <c r="I26" s="5">
        <f t="shared" si="4"/>
        <v>0.86626660951564516</v>
      </c>
      <c r="J26" s="4">
        <f>90.95</f>
        <v>90.95</v>
      </c>
      <c r="K26" s="4">
        <f>69.99</f>
        <v>69.989999999999995</v>
      </c>
      <c r="L26" s="4">
        <f t="shared" si="5"/>
        <v>20.960000000000008</v>
      </c>
      <c r="M26" s="5">
        <f t="shared" si="6"/>
        <v>1.2994713530504358</v>
      </c>
      <c r="N26" s="4">
        <f>60.63</f>
        <v>60.63</v>
      </c>
      <c r="O26" s="4">
        <f>69.99</f>
        <v>69.989999999999995</v>
      </c>
      <c r="P26" s="4">
        <f t="shared" si="7"/>
        <v>-9.3599999999999923</v>
      </c>
      <c r="Q26" s="5">
        <f t="shared" si="8"/>
        <v>0.86626660951564516</v>
      </c>
      <c r="R26" s="4">
        <f>60.63</f>
        <v>60.63</v>
      </c>
      <c r="S26" s="4">
        <f>69.99</f>
        <v>69.989999999999995</v>
      </c>
      <c r="T26" s="4">
        <f t="shared" si="9"/>
        <v>-9.3599999999999923</v>
      </c>
      <c r="U26" s="5">
        <f t="shared" si="10"/>
        <v>0.86626660951564516</v>
      </c>
      <c r="V26" s="4">
        <f t="shared" si="11"/>
        <v>331.02</v>
      </c>
      <c r="W26" s="4">
        <f t="shared" si="12"/>
        <v>349.95</v>
      </c>
      <c r="X26" s="4">
        <f t="shared" si="13"/>
        <v>-18.930000000000007</v>
      </c>
      <c r="Y26" s="5">
        <f t="shared" si="14"/>
        <v>0.94590655807972568</v>
      </c>
    </row>
    <row r="27" spans="1:25" x14ac:dyDescent="0.25">
      <c r="A27" s="2" t="s">
        <v>30</v>
      </c>
      <c r="B27" s="4">
        <f>0</f>
        <v>0</v>
      </c>
      <c r="C27" s="3"/>
      <c r="D27" s="4">
        <f t="shared" si="1"/>
        <v>0</v>
      </c>
      <c r="E27" s="5" t="str">
        <f t="shared" si="2"/>
        <v/>
      </c>
      <c r="F27" s="4">
        <f>0</f>
        <v>0</v>
      </c>
      <c r="G27" s="3"/>
      <c r="H27" s="4">
        <f t="shared" si="3"/>
        <v>0</v>
      </c>
      <c r="I27" s="5" t="str">
        <f t="shared" si="4"/>
        <v/>
      </c>
      <c r="J27" s="4">
        <f>0</f>
        <v>0</v>
      </c>
      <c r="K27" s="3"/>
      <c r="L27" s="4">
        <f t="shared" si="5"/>
        <v>0</v>
      </c>
      <c r="M27" s="5" t="str">
        <f t="shared" si="6"/>
        <v/>
      </c>
      <c r="N27" s="4">
        <f>0</f>
        <v>0</v>
      </c>
      <c r="O27" s="3"/>
      <c r="P27" s="4">
        <f t="shared" si="7"/>
        <v>0</v>
      </c>
      <c r="Q27" s="5" t="str">
        <f t="shared" si="8"/>
        <v/>
      </c>
      <c r="R27" s="4">
        <f>0</f>
        <v>0</v>
      </c>
      <c r="S27" s="3"/>
      <c r="T27" s="4">
        <f t="shared" si="9"/>
        <v>0</v>
      </c>
      <c r="U27" s="5" t="str">
        <f t="shared" si="10"/>
        <v/>
      </c>
      <c r="V27" s="4">
        <f t="shared" si="11"/>
        <v>0</v>
      </c>
      <c r="W27" s="4">
        <f t="shared" si="12"/>
        <v>0</v>
      </c>
      <c r="X27" s="4">
        <f t="shared" si="13"/>
        <v>0</v>
      </c>
      <c r="Y27" s="5" t="str">
        <f t="shared" si="14"/>
        <v/>
      </c>
    </row>
    <row r="28" spans="1:25" x14ac:dyDescent="0.25">
      <c r="A28" s="2" t="s">
        <v>31</v>
      </c>
      <c r="B28" s="6">
        <f>(((B24)+(B25))+(B26))+(B27)</f>
        <v>166.22</v>
      </c>
      <c r="C28" s="6">
        <f>(((C24)+(C25))+(C26))+(C27)</f>
        <v>199.96999999999997</v>
      </c>
      <c r="D28" s="6">
        <f t="shared" si="1"/>
        <v>-33.749999999999972</v>
      </c>
      <c r="E28" s="7">
        <f t="shared" si="2"/>
        <v>0.83122468370255553</v>
      </c>
      <c r="F28" s="6">
        <f>(((F24)+(F25))+(F26))+(F27)</f>
        <v>173.24</v>
      </c>
      <c r="G28" s="6">
        <f>(((G24)+(G25))+(G26))+(G27)</f>
        <v>199.96999999999997</v>
      </c>
      <c r="H28" s="6">
        <f t="shared" si="3"/>
        <v>-26.729999999999961</v>
      </c>
      <c r="I28" s="7">
        <f t="shared" si="4"/>
        <v>0.86632994949242403</v>
      </c>
      <c r="J28" s="6">
        <f>(((J24)+(J25))+(J26))+(J27)</f>
        <v>259.86</v>
      </c>
      <c r="K28" s="6">
        <f>(((K24)+(K25))+(K26))+(K27)</f>
        <v>199.96999999999997</v>
      </c>
      <c r="L28" s="6">
        <f t="shared" si="5"/>
        <v>59.890000000000043</v>
      </c>
      <c r="M28" s="7">
        <f t="shared" si="6"/>
        <v>1.299494924238636</v>
      </c>
      <c r="N28" s="6">
        <f>(((N24)+(N25))+(N26))+(N27)</f>
        <v>173.24</v>
      </c>
      <c r="O28" s="6">
        <f>(((O24)+(O25))+(O26))+(O27)</f>
        <v>199.96999999999997</v>
      </c>
      <c r="P28" s="6">
        <f t="shared" si="7"/>
        <v>-26.729999999999961</v>
      </c>
      <c r="Q28" s="7">
        <f t="shared" si="8"/>
        <v>0.86632994949242403</v>
      </c>
      <c r="R28" s="6">
        <f>(((R24)+(R25))+(R26))+(R27)</f>
        <v>173.24</v>
      </c>
      <c r="S28" s="6">
        <f>(((S24)+(S25))+(S26))+(S27)</f>
        <v>199.96999999999997</v>
      </c>
      <c r="T28" s="6">
        <f t="shared" si="9"/>
        <v>-26.729999999999961</v>
      </c>
      <c r="U28" s="7">
        <f t="shared" si="10"/>
        <v>0.86632994949242403</v>
      </c>
      <c r="V28" s="6">
        <f t="shared" si="11"/>
        <v>945.80000000000007</v>
      </c>
      <c r="W28" s="6">
        <f t="shared" si="12"/>
        <v>999.84999999999991</v>
      </c>
      <c r="X28" s="6">
        <f t="shared" si="13"/>
        <v>-54.049999999999841</v>
      </c>
      <c r="Y28" s="7">
        <f t="shared" si="14"/>
        <v>0.94594189128369266</v>
      </c>
    </row>
    <row r="29" spans="1:25" x14ac:dyDescent="0.25">
      <c r="A29" s="2" t="s">
        <v>32</v>
      </c>
      <c r="B29" s="3"/>
      <c r="C29" s="3"/>
      <c r="D29" s="4">
        <f t="shared" si="1"/>
        <v>0</v>
      </c>
      <c r="E29" s="5" t="str">
        <f t="shared" si="2"/>
        <v/>
      </c>
      <c r="F29" s="3"/>
      <c r="G29" s="3"/>
      <c r="H29" s="4">
        <f t="shared" si="3"/>
        <v>0</v>
      </c>
      <c r="I29" s="5" t="str">
        <f t="shared" si="4"/>
        <v/>
      </c>
      <c r="J29" s="3"/>
      <c r="K29" s="3"/>
      <c r="L29" s="4">
        <f t="shared" si="5"/>
        <v>0</v>
      </c>
      <c r="M29" s="5" t="str">
        <f t="shared" si="6"/>
        <v/>
      </c>
      <c r="N29" s="3"/>
      <c r="O29" s="3"/>
      <c r="P29" s="4">
        <f t="shared" si="7"/>
        <v>0</v>
      </c>
      <c r="Q29" s="5" t="str">
        <f t="shared" si="8"/>
        <v/>
      </c>
      <c r="R29" s="3"/>
      <c r="S29" s="3"/>
      <c r="T29" s="4">
        <f t="shared" si="9"/>
        <v>0</v>
      </c>
      <c r="U29" s="5" t="str">
        <f t="shared" si="10"/>
        <v/>
      </c>
      <c r="V29" s="4">
        <f t="shared" si="11"/>
        <v>0</v>
      </c>
      <c r="W29" s="4">
        <f t="shared" si="12"/>
        <v>0</v>
      </c>
      <c r="X29" s="4">
        <f t="shared" si="13"/>
        <v>0</v>
      </c>
      <c r="Y29" s="5" t="str">
        <f t="shared" si="14"/>
        <v/>
      </c>
    </row>
    <row r="30" spans="1:25" x14ac:dyDescent="0.25">
      <c r="A30" s="2" t="s">
        <v>33</v>
      </c>
      <c r="B30" s="3"/>
      <c r="C30" s="4">
        <f>73.29</f>
        <v>73.290000000000006</v>
      </c>
      <c r="D30" s="4">
        <f t="shared" si="1"/>
        <v>-73.290000000000006</v>
      </c>
      <c r="E30" s="5">
        <f t="shared" si="2"/>
        <v>0</v>
      </c>
      <c r="F30" s="3"/>
      <c r="G30" s="4">
        <f>73.29</f>
        <v>73.290000000000006</v>
      </c>
      <c r="H30" s="4">
        <f t="shared" si="3"/>
        <v>-73.290000000000006</v>
      </c>
      <c r="I30" s="5">
        <f t="shared" si="4"/>
        <v>0</v>
      </c>
      <c r="J30" s="3"/>
      <c r="K30" s="4">
        <f>73.29</f>
        <v>73.290000000000006</v>
      </c>
      <c r="L30" s="4">
        <f t="shared" si="5"/>
        <v>-73.290000000000006</v>
      </c>
      <c r="M30" s="5">
        <f t="shared" si="6"/>
        <v>0</v>
      </c>
      <c r="N30" s="4">
        <f>870.87</f>
        <v>870.87</v>
      </c>
      <c r="O30" s="4">
        <f>73.29</f>
        <v>73.290000000000006</v>
      </c>
      <c r="P30" s="4">
        <f t="shared" si="7"/>
        <v>797.58</v>
      </c>
      <c r="Q30" s="5">
        <f t="shared" si="8"/>
        <v>11.882521489971346</v>
      </c>
      <c r="R30" s="4">
        <f>450.57</f>
        <v>450.57</v>
      </c>
      <c r="S30" s="4">
        <f>73.29</f>
        <v>73.290000000000006</v>
      </c>
      <c r="T30" s="4">
        <f t="shared" si="9"/>
        <v>377.28</v>
      </c>
      <c r="U30" s="5">
        <f t="shared" si="10"/>
        <v>6.1477691363078177</v>
      </c>
      <c r="V30" s="4">
        <f t="shared" si="11"/>
        <v>1321.44</v>
      </c>
      <c r="W30" s="4">
        <f t="shared" si="12"/>
        <v>366.45000000000005</v>
      </c>
      <c r="X30" s="4">
        <f t="shared" si="13"/>
        <v>954.99</v>
      </c>
      <c r="Y30" s="5">
        <f t="shared" si="14"/>
        <v>3.6060581252558328</v>
      </c>
    </row>
    <row r="31" spans="1:25" x14ac:dyDescent="0.25">
      <c r="A31" s="2" t="s">
        <v>34</v>
      </c>
      <c r="B31" s="3"/>
      <c r="C31" s="4">
        <f>39.46</f>
        <v>39.46</v>
      </c>
      <c r="D31" s="4">
        <f t="shared" si="1"/>
        <v>-39.46</v>
      </c>
      <c r="E31" s="5">
        <f t="shared" si="2"/>
        <v>0</v>
      </c>
      <c r="F31" s="3"/>
      <c r="G31" s="4">
        <f>39.46</f>
        <v>39.46</v>
      </c>
      <c r="H31" s="4">
        <f t="shared" si="3"/>
        <v>-39.46</v>
      </c>
      <c r="I31" s="5">
        <f t="shared" si="4"/>
        <v>0</v>
      </c>
      <c r="J31" s="3"/>
      <c r="K31" s="4">
        <f>39.46</f>
        <v>39.46</v>
      </c>
      <c r="L31" s="4">
        <f t="shared" si="5"/>
        <v>-39.46</v>
      </c>
      <c r="M31" s="5">
        <f t="shared" si="6"/>
        <v>0</v>
      </c>
      <c r="N31" s="4">
        <f>468.93</f>
        <v>468.93</v>
      </c>
      <c r="O31" s="4">
        <f>39.46</f>
        <v>39.46</v>
      </c>
      <c r="P31" s="4">
        <f t="shared" si="7"/>
        <v>429.47</v>
      </c>
      <c r="Q31" s="5">
        <f t="shared" si="8"/>
        <v>11.883679675620883</v>
      </c>
      <c r="R31" s="4">
        <f>242.62</f>
        <v>242.62</v>
      </c>
      <c r="S31" s="4">
        <f>39.46</f>
        <v>39.46</v>
      </c>
      <c r="T31" s="4">
        <f t="shared" si="9"/>
        <v>203.16</v>
      </c>
      <c r="U31" s="5">
        <f t="shared" si="10"/>
        <v>6.1485048150025339</v>
      </c>
      <c r="V31" s="4">
        <f t="shared" si="11"/>
        <v>711.55</v>
      </c>
      <c r="W31" s="4">
        <f t="shared" si="12"/>
        <v>197.3</v>
      </c>
      <c r="X31" s="4">
        <f t="shared" si="13"/>
        <v>514.25</v>
      </c>
      <c r="Y31" s="5">
        <f t="shared" si="14"/>
        <v>3.6064368981246826</v>
      </c>
    </row>
    <row r="32" spans="1:25" x14ac:dyDescent="0.25">
      <c r="A32" s="2" t="s">
        <v>35</v>
      </c>
      <c r="B32" s="4">
        <f>0</f>
        <v>0</v>
      </c>
      <c r="C32" s="3"/>
      <c r="D32" s="4">
        <f t="shared" si="1"/>
        <v>0</v>
      </c>
      <c r="E32" s="5" t="str">
        <f t="shared" si="2"/>
        <v/>
      </c>
      <c r="F32" s="4">
        <f>0</f>
        <v>0</v>
      </c>
      <c r="G32" s="3"/>
      <c r="H32" s="4">
        <f t="shared" si="3"/>
        <v>0</v>
      </c>
      <c r="I32" s="5" t="str">
        <f t="shared" si="4"/>
        <v/>
      </c>
      <c r="J32" s="4">
        <f>0</f>
        <v>0</v>
      </c>
      <c r="K32" s="3"/>
      <c r="L32" s="4">
        <f t="shared" si="5"/>
        <v>0</v>
      </c>
      <c r="M32" s="5" t="str">
        <f t="shared" si="6"/>
        <v/>
      </c>
      <c r="N32" s="4">
        <f>0</f>
        <v>0</v>
      </c>
      <c r="O32" s="3"/>
      <c r="P32" s="4">
        <f t="shared" si="7"/>
        <v>0</v>
      </c>
      <c r="Q32" s="5" t="str">
        <f t="shared" si="8"/>
        <v/>
      </c>
      <c r="R32" s="4">
        <f>0</f>
        <v>0</v>
      </c>
      <c r="S32" s="3"/>
      <c r="T32" s="4">
        <f t="shared" si="9"/>
        <v>0</v>
      </c>
      <c r="U32" s="5" t="str">
        <f t="shared" si="10"/>
        <v/>
      </c>
      <c r="V32" s="4">
        <f t="shared" si="11"/>
        <v>0</v>
      </c>
      <c r="W32" s="4">
        <f t="shared" si="12"/>
        <v>0</v>
      </c>
      <c r="X32" s="4">
        <f t="shared" si="13"/>
        <v>0</v>
      </c>
      <c r="Y32" s="5" t="str">
        <f t="shared" si="14"/>
        <v/>
      </c>
    </row>
    <row r="33" spans="1:25" x14ac:dyDescent="0.25">
      <c r="A33" s="2" t="s">
        <v>36</v>
      </c>
      <c r="B33" s="6">
        <f>(((B29)+(B30))+(B31))+(B32)</f>
        <v>0</v>
      </c>
      <c r="C33" s="6">
        <f>(((C29)+(C30))+(C31))+(C32)</f>
        <v>112.75</v>
      </c>
      <c r="D33" s="6">
        <f t="shared" si="1"/>
        <v>-112.75</v>
      </c>
      <c r="E33" s="7">
        <f t="shared" si="2"/>
        <v>0</v>
      </c>
      <c r="F33" s="6">
        <f>(((F29)+(F30))+(F31))+(F32)</f>
        <v>0</v>
      </c>
      <c r="G33" s="6">
        <f>(((G29)+(G30))+(G31))+(G32)</f>
        <v>112.75</v>
      </c>
      <c r="H33" s="6">
        <f t="shared" si="3"/>
        <v>-112.75</v>
      </c>
      <c r="I33" s="7">
        <f t="shared" si="4"/>
        <v>0</v>
      </c>
      <c r="J33" s="6">
        <f>(((J29)+(J30))+(J31))+(J32)</f>
        <v>0</v>
      </c>
      <c r="K33" s="6">
        <f>(((K29)+(K30))+(K31))+(K32)</f>
        <v>112.75</v>
      </c>
      <c r="L33" s="6">
        <f t="shared" si="5"/>
        <v>-112.75</v>
      </c>
      <c r="M33" s="7">
        <f t="shared" si="6"/>
        <v>0</v>
      </c>
      <c r="N33" s="6">
        <f>(((N29)+(N30))+(N31))+(N32)</f>
        <v>1339.8</v>
      </c>
      <c r="O33" s="6">
        <f>(((O29)+(O30))+(O31))+(O32)</f>
        <v>112.75</v>
      </c>
      <c r="P33" s="6">
        <f t="shared" si="7"/>
        <v>1227.05</v>
      </c>
      <c r="Q33" s="7">
        <f t="shared" si="8"/>
        <v>11.882926829268293</v>
      </c>
      <c r="R33" s="6">
        <f>(((R29)+(R30))+(R31))+(R32)</f>
        <v>693.19</v>
      </c>
      <c r="S33" s="6">
        <f>(((S29)+(S30))+(S31))+(S32)</f>
        <v>112.75</v>
      </c>
      <c r="T33" s="6">
        <f t="shared" si="9"/>
        <v>580.44000000000005</v>
      </c>
      <c r="U33" s="7">
        <f t="shared" si="10"/>
        <v>6.148026607538803</v>
      </c>
      <c r="V33" s="6">
        <f t="shared" si="11"/>
        <v>2032.99</v>
      </c>
      <c r="W33" s="6">
        <f t="shared" si="12"/>
        <v>563.75</v>
      </c>
      <c r="X33" s="6">
        <f t="shared" si="13"/>
        <v>1469.24</v>
      </c>
      <c r="Y33" s="7">
        <f t="shared" si="14"/>
        <v>3.6061906873614191</v>
      </c>
    </row>
    <row r="34" spans="1:25" x14ac:dyDescent="0.25">
      <c r="A34" s="2" t="s">
        <v>37</v>
      </c>
      <c r="B34" s="3"/>
      <c r="C34" s="3"/>
      <c r="D34" s="4">
        <f t="shared" si="1"/>
        <v>0</v>
      </c>
      <c r="E34" s="5" t="str">
        <f t="shared" si="2"/>
        <v/>
      </c>
      <c r="F34" s="3"/>
      <c r="G34" s="3"/>
      <c r="H34" s="4">
        <f t="shared" si="3"/>
        <v>0</v>
      </c>
      <c r="I34" s="5" t="str">
        <f t="shared" si="4"/>
        <v/>
      </c>
      <c r="J34" s="3"/>
      <c r="K34" s="3"/>
      <c r="L34" s="4">
        <f t="shared" si="5"/>
        <v>0</v>
      </c>
      <c r="M34" s="5" t="str">
        <f t="shared" si="6"/>
        <v/>
      </c>
      <c r="N34" s="3"/>
      <c r="O34" s="3"/>
      <c r="P34" s="4">
        <f t="shared" si="7"/>
        <v>0</v>
      </c>
      <c r="Q34" s="5" t="str">
        <f t="shared" si="8"/>
        <v/>
      </c>
      <c r="R34" s="3"/>
      <c r="S34" s="3"/>
      <c r="T34" s="4">
        <f t="shared" si="9"/>
        <v>0</v>
      </c>
      <c r="U34" s="5" t="str">
        <f t="shared" si="10"/>
        <v/>
      </c>
      <c r="V34" s="4">
        <f t="shared" si="11"/>
        <v>0</v>
      </c>
      <c r="W34" s="4">
        <f t="shared" si="12"/>
        <v>0</v>
      </c>
      <c r="X34" s="4">
        <f t="shared" si="13"/>
        <v>0</v>
      </c>
      <c r="Y34" s="5" t="str">
        <f t="shared" si="14"/>
        <v/>
      </c>
    </row>
    <row r="35" spans="1:25" x14ac:dyDescent="0.25">
      <c r="A35" s="2" t="s">
        <v>38</v>
      </c>
      <c r="B35" s="4">
        <f>45.16</f>
        <v>45.16</v>
      </c>
      <c r="C35" s="4">
        <f>56.55</f>
        <v>56.55</v>
      </c>
      <c r="D35" s="4">
        <f t="shared" si="1"/>
        <v>-11.39</v>
      </c>
      <c r="E35" s="5">
        <f t="shared" si="2"/>
        <v>0.79858532272325378</v>
      </c>
      <c r="F35" s="4">
        <f>45.16</f>
        <v>45.16</v>
      </c>
      <c r="G35" s="4">
        <f>56.55</f>
        <v>56.55</v>
      </c>
      <c r="H35" s="4">
        <f t="shared" si="3"/>
        <v>-11.39</v>
      </c>
      <c r="I35" s="5">
        <f t="shared" si="4"/>
        <v>0.79858532272325378</v>
      </c>
      <c r="J35" s="4">
        <f>31.69</f>
        <v>31.69</v>
      </c>
      <c r="K35" s="4">
        <f>56.55</f>
        <v>56.55</v>
      </c>
      <c r="L35" s="4">
        <f t="shared" si="5"/>
        <v>-24.859999999999996</v>
      </c>
      <c r="M35" s="5">
        <f t="shared" si="6"/>
        <v>0.56038903625110525</v>
      </c>
      <c r="N35" s="4">
        <f>44.73</f>
        <v>44.73</v>
      </c>
      <c r="O35" s="4">
        <f>56.55</f>
        <v>56.55</v>
      </c>
      <c r="P35" s="4">
        <f t="shared" si="7"/>
        <v>-11.82</v>
      </c>
      <c r="Q35" s="5">
        <f t="shared" si="8"/>
        <v>0.7909814323607427</v>
      </c>
      <c r="R35" s="4">
        <f>44.73</f>
        <v>44.73</v>
      </c>
      <c r="S35" s="4">
        <f>56.55</f>
        <v>56.55</v>
      </c>
      <c r="T35" s="4">
        <f t="shared" si="9"/>
        <v>-11.82</v>
      </c>
      <c r="U35" s="5">
        <f t="shared" si="10"/>
        <v>0.7909814323607427</v>
      </c>
      <c r="V35" s="4">
        <f t="shared" si="11"/>
        <v>211.46999999999997</v>
      </c>
      <c r="W35" s="4">
        <f t="shared" si="12"/>
        <v>282.75</v>
      </c>
      <c r="X35" s="4">
        <f t="shared" si="13"/>
        <v>-71.28000000000003</v>
      </c>
      <c r="Y35" s="5">
        <f t="shared" si="14"/>
        <v>0.74790450928381957</v>
      </c>
    </row>
    <row r="36" spans="1:25" x14ac:dyDescent="0.25">
      <c r="A36" s="2" t="s">
        <v>39</v>
      </c>
      <c r="B36" s="4">
        <f>24.31</f>
        <v>24.31</v>
      </c>
      <c r="C36" s="4">
        <f>30.45</f>
        <v>30.45</v>
      </c>
      <c r="D36" s="4">
        <f t="shared" si="1"/>
        <v>-6.1400000000000006</v>
      </c>
      <c r="E36" s="5">
        <f t="shared" si="2"/>
        <v>0.79835796387520519</v>
      </c>
      <c r="F36" s="4">
        <f>24.31</f>
        <v>24.31</v>
      </c>
      <c r="G36" s="4">
        <f>30.45</f>
        <v>30.45</v>
      </c>
      <c r="H36" s="4">
        <f t="shared" si="3"/>
        <v>-6.1400000000000006</v>
      </c>
      <c r="I36" s="5">
        <f t="shared" si="4"/>
        <v>0.79835796387520519</v>
      </c>
      <c r="J36" s="4">
        <f>17.06</f>
        <v>17.059999999999999</v>
      </c>
      <c r="K36" s="4">
        <f>30.45</f>
        <v>30.45</v>
      </c>
      <c r="L36" s="4">
        <f t="shared" si="5"/>
        <v>-13.39</v>
      </c>
      <c r="M36" s="5">
        <f t="shared" si="6"/>
        <v>0.56026272577996716</v>
      </c>
      <c r="N36" s="4">
        <f>24.08</f>
        <v>24.08</v>
      </c>
      <c r="O36" s="4">
        <f>30.45</f>
        <v>30.45</v>
      </c>
      <c r="P36" s="4">
        <f t="shared" si="7"/>
        <v>-6.370000000000001</v>
      </c>
      <c r="Q36" s="5">
        <f t="shared" si="8"/>
        <v>0.79080459770114941</v>
      </c>
      <c r="R36" s="4">
        <f>24.08</f>
        <v>24.08</v>
      </c>
      <c r="S36" s="4">
        <f>30.45</f>
        <v>30.45</v>
      </c>
      <c r="T36" s="4">
        <f t="shared" si="9"/>
        <v>-6.370000000000001</v>
      </c>
      <c r="U36" s="5">
        <f t="shared" si="10"/>
        <v>0.79080459770114941</v>
      </c>
      <c r="V36" s="4">
        <f t="shared" si="11"/>
        <v>113.83999999999999</v>
      </c>
      <c r="W36" s="4">
        <f t="shared" si="12"/>
        <v>152.25</v>
      </c>
      <c r="X36" s="4">
        <f t="shared" si="13"/>
        <v>-38.410000000000011</v>
      </c>
      <c r="Y36" s="5">
        <f t="shared" si="14"/>
        <v>0.74771756978653525</v>
      </c>
    </row>
    <row r="37" spans="1:25" x14ac:dyDescent="0.25">
      <c r="A37" s="2" t="s">
        <v>40</v>
      </c>
      <c r="B37" s="4">
        <f>0</f>
        <v>0</v>
      </c>
      <c r="C37" s="3"/>
      <c r="D37" s="4">
        <f t="shared" si="1"/>
        <v>0</v>
      </c>
      <c r="E37" s="5" t="str">
        <f t="shared" si="2"/>
        <v/>
      </c>
      <c r="F37" s="4">
        <f>0</f>
        <v>0</v>
      </c>
      <c r="G37" s="3"/>
      <c r="H37" s="4">
        <f t="shared" si="3"/>
        <v>0</v>
      </c>
      <c r="I37" s="5" t="str">
        <f t="shared" si="4"/>
        <v/>
      </c>
      <c r="J37" s="4">
        <f>0</f>
        <v>0</v>
      </c>
      <c r="K37" s="3"/>
      <c r="L37" s="4">
        <f t="shared" si="5"/>
        <v>0</v>
      </c>
      <c r="M37" s="5" t="str">
        <f t="shared" si="6"/>
        <v/>
      </c>
      <c r="N37" s="4">
        <f>0</f>
        <v>0</v>
      </c>
      <c r="O37" s="3"/>
      <c r="P37" s="4">
        <f t="shared" si="7"/>
        <v>0</v>
      </c>
      <c r="Q37" s="5" t="str">
        <f t="shared" si="8"/>
        <v/>
      </c>
      <c r="R37" s="4">
        <f>0</f>
        <v>0</v>
      </c>
      <c r="S37" s="3"/>
      <c r="T37" s="4">
        <f t="shared" si="9"/>
        <v>0</v>
      </c>
      <c r="U37" s="5" t="str">
        <f t="shared" si="10"/>
        <v/>
      </c>
      <c r="V37" s="4">
        <f t="shared" si="11"/>
        <v>0</v>
      </c>
      <c r="W37" s="4">
        <f t="shared" si="12"/>
        <v>0</v>
      </c>
      <c r="X37" s="4">
        <f t="shared" si="13"/>
        <v>0</v>
      </c>
      <c r="Y37" s="5" t="str">
        <f t="shared" si="14"/>
        <v/>
      </c>
    </row>
    <row r="38" spans="1:25" x14ac:dyDescent="0.25">
      <c r="A38" s="2" t="s">
        <v>41</v>
      </c>
      <c r="B38" s="6">
        <f>(((B34)+(B35))+(B36))+(B37)</f>
        <v>69.47</v>
      </c>
      <c r="C38" s="6">
        <f>(((C34)+(C35))+(C36))+(C37)</f>
        <v>87</v>
      </c>
      <c r="D38" s="6">
        <f t="shared" si="1"/>
        <v>-17.53</v>
      </c>
      <c r="E38" s="7">
        <f t="shared" si="2"/>
        <v>0.79850574712643674</v>
      </c>
      <c r="F38" s="6">
        <f>(((F34)+(F35))+(F36))+(F37)</f>
        <v>69.47</v>
      </c>
      <c r="G38" s="6">
        <f>(((G34)+(G35))+(G36))+(G37)</f>
        <v>87</v>
      </c>
      <c r="H38" s="6">
        <f t="shared" si="3"/>
        <v>-17.53</v>
      </c>
      <c r="I38" s="7">
        <f t="shared" si="4"/>
        <v>0.79850574712643674</v>
      </c>
      <c r="J38" s="6">
        <f>(((J34)+(J35))+(J36))+(J37)</f>
        <v>48.75</v>
      </c>
      <c r="K38" s="6">
        <f>(((K34)+(K35))+(K36))+(K37)</f>
        <v>87</v>
      </c>
      <c r="L38" s="6">
        <f t="shared" si="5"/>
        <v>-38.25</v>
      </c>
      <c r="M38" s="7">
        <f t="shared" si="6"/>
        <v>0.56034482758620685</v>
      </c>
      <c r="N38" s="6">
        <f>(((N34)+(N35))+(N36))+(N37)</f>
        <v>68.81</v>
      </c>
      <c r="O38" s="6">
        <f>(((O34)+(O35))+(O36))+(O37)</f>
        <v>87</v>
      </c>
      <c r="P38" s="6">
        <f t="shared" si="7"/>
        <v>-18.189999999999998</v>
      </c>
      <c r="Q38" s="7">
        <f t="shared" si="8"/>
        <v>0.79091954022988509</v>
      </c>
      <c r="R38" s="6">
        <f>(((R34)+(R35))+(R36))+(R37)</f>
        <v>68.81</v>
      </c>
      <c r="S38" s="6">
        <f>(((S34)+(S35))+(S36))+(S37)</f>
        <v>87</v>
      </c>
      <c r="T38" s="6">
        <f t="shared" si="9"/>
        <v>-18.189999999999998</v>
      </c>
      <c r="U38" s="7">
        <f t="shared" si="10"/>
        <v>0.79091954022988509</v>
      </c>
      <c r="V38" s="6">
        <f t="shared" si="11"/>
        <v>325.31</v>
      </c>
      <c r="W38" s="6">
        <f t="shared" si="12"/>
        <v>435</v>
      </c>
      <c r="X38" s="6">
        <f t="shared" si="13"/>
        <v>-109.69</v>
      </c>
      <c r="Y38" s="7">
        <f t="shared" si="14"/>
        <v>0.7478390804597701</v>
      </c>
    </row>
    <row r="39" spans="1:25" x14ac:dyDescent="0.25">
      <c r="A39" s="2" t="s">
        <v>42</v>
      </c>
      <c r="B39" s="3"/>
      <c r="C39" s="3"/>
      <c r="D39" s="4">
        <f t="shared" si="1"/>
        <v>0</v>
      </c>
      <c r="E39" s="5" t="str">
        <f t="shared" si="2"/>
        <v/>
      </c>
      <c r="F39" s="3"/>
      <c r="G39" s="3"/>
      <c r="H39" s="4">
        <f t="shared" si="3"/>
        <v>0</v>
      </c>
      <c r="I39" s="5" t="str">
        <f t="shared" si="4"/>
        <v/>
      </c>
      <c r="J39" s="3"/>
      <c r="K39" s="3"/>
      <c r="L39" s="4">
        <f t="shared" si="5"/>
        <v>0</v>
      </c>
      <c r="M39" s="5" t="str">
        <f t="shared" si="6"/>
        <v/>
      </c>
      <c r="N39" s="3"/>
      <c r="O39" s="3"/>
      <c r="P39" s="4">
        <f t="shared" si="7"/>
        <v>0</v>
      </c>
      <c r="Q39" s="5" t="str">
        <f t="shared" si="8"/>
        <v/>
      </c>
      <c r="R39" s="3"/>
      <c r="S39" s="3"/>
      <c r="T39" s="4">
        <f t="shared" si="9"/>
        <v>0</v>
      </c>
      <c r="U39" s="5" t="str">
        <f t="shared" si="10"/>
        <v/>
      </c>
      <c r="V39" s="4">
        <f t="shared" si="11"/>
        <v>0</v>
      </c>
      <c r="W39" s="4">
        <f t="shared" si="12"/>
        <v>0</v>
      </c>
      <c r="X39" s="4">
        <f t="shared" si="13"/>
        <v>0</v>
      </c>
      <c r="Y39" s="5" t="str">
        <f t="shared" si="14"/>
        <v/>
      </c>
    </row>
    <row r="40" spans="1:25" x14ac:dyDescent="0.25">
      <c r="A40" s="2" t="s">
        <v>43</v>
      </c>
      <c r="B40" s="4">
        <f>1031.82</f>
        <v>1031.82</v>
      </c>
      <c r="C40" s="4">
        <f>1381.58</f>
        <v>1381.58</v>
      </c>
      <c r="D40" s="4">
        <f t="shared" si="1"/>
        <v>-349.76</v>
      </c>
      <c r="E40" s="5">
        <f t="shared" si="2"/>
        <v>0.74684057383575331</v>
      </c>
      <c r="F40" s="4">
        <f>1031.82</f>
        <v>1031.82</v>
      </c>
      <c r="G40" s="4">
        <f>1381.58</f>
        <v>1381.58</v>
      </c>
      <c r="H40" s="4">
        <f t="shared" si="3"/>
        <v>-349.76</v>
      </c>
      <c r="I40" s="5">
        <f t="shared" si="4"/>
        <v>0.74684057383575331</v>
      </c>
      <c r="J40" s="4">
        <f>858.62</f>
        <v>858.62</v>
      </c>
      <c r="K40" s="4">
        <f>1381.58</f>
        <v>1381.58</v>
      </c>
      <c r="L40" s="4">
        <f t="shared" si="5"/>
        <v>-522.95999999999992</v>
      </c>
      <c r="M40" s="5">
        <f t="shared" si="6"/>
        <v>0.6214768598271545</v>
      </c>
      <c r="N40" s="4">
        <f>6036.82</f>
        <v>6036.82</v>
      </c>
      <c r="O40" s="4">
        <f>1381.58</f>
        <v>1381.58</v>
      </c>
      <c r="P40" s="4">
        <f t="shared" si="7"/>
        <v>4655.24</v>
      </c>
      <c r="Q40" s="5">
        <f t="shared" si="8"/>
        <v>4.3695044803775387</v>
      </c>
      <c r="R40" s="4">
        <f>1031.82</f>
        <v>1031.82</v>
      </c>
      <c r="S40" s="4">
        <f>1381.58</f>
        <v>1381.58</v>
      </c>
      <c r="T40" s="4">
        <f t="shared" si="9"/>
        <v>-349.76</v>
      </c>
      <c r="U40" s="5">
        <f t="shared" si="10"/>
        <v>0.74684057383575331</v>
      </c>
      <c r="V40" s="4">
        <f t="shared" si="11"/>
        <v>9990.9</v>
      </c>
      <c r="W40" s="4">
        <f t="shared" si="12"/>
        <v>6907.9</v>
      </c>
      <c r="X40" s="4">
        <f t="shared" si="13"/>
        <v>3083</v>
      </c>
      <c r="Y40" s="5">
        <f t="shared" si="14"/>
        <v>1.4463006123423907</v>
      </c>
    </row>
    <row r="41" spans="1:25" x14ac:dyDescent="0.25">
      <c r="A41" s="2" t="s">
        <v>44</v>
      </c>
      <c r="B41" s="4">
        <f>555.6</f>
        <v>555.6</v>
      </c>
      <c r="C41" s="4">
        <f>743.93</f>
        <v>743.93</v>
      </c>
      <c r="D41" s="4">
        <f t="shared" si="1"/>
        <v>-188.32999999999993</v>
      </c>
      <c r="E41" s="5">
        <f t="shared" si="2"/>
        <v>0.7468444611724222</v>
      </c>
      <c r="F41" s="4">
        <f>555.6</f>
        <v>555.6</v>
      </c>
      <c r="G41" s="4">
        <f>743.93</f>
        <v>743.93</v>
      </c>
      <c r="H41" s="4">
        <f t="shared" si="3"/>
        <v>-188.32999999999993</v>
      </c>
      <c r="I41" s="5">
        <f t="shared" si="4"/>
        <v>0.7468444611724222</v>
      </c>
      <c r="J41" s="4">
        <f>462.34</f>
        <v>462.34</v>
      </c>
      <c r="K41" s="4">
        <f>743.93</f>
        <v>743.93</v>
      </c>
      <c r="L41" s="4">
        <f t="shared" si="5"/>
        <v>-281.58999999999997</v>
      </c>
      <c r="M41" s="5">
        <f t="shared" si="6"/>
        <v>0.62148320406489854</v>
      </c>
      <c r="N41" s="4">
        <f>3250.6</f>
        <v>3250.6</v>
      </c>
      <c r="O41" s="4">
        <f>743.93</f>
        <v>743.93</v>
      </c>
      <c r="P41" s="4">
        <f t="shared" si="7"/>
        <v>2506.67</v>
      </c>
      <c r="Q41" s="5">
        <f t="shared" si="8"/>
        <v>4.3694971301063275</v>
      </c>
      <c r="R41" s="4">
        <f>555.6</f>
        <v>555.6</v>
      </c>
      <c r="S41" s="4">
        <f>743.93</f>
        <v>743.93</v>
      </c>
      <c r="T41" s="4">
        <f t="shared" si="9"/>
        <v>-188.32999999999993</v>
      </c>
      <c r="U41" s="5">
        <f t="shared" si="10"/>
        <v>0.7468444611724222</v>
      </c>
      <c r="V41" s="4">
        <f t="shared" si="11"/>
        <v>5379.74</v>
      </c>
      <c r="W41" s="4">
        <f t="shared" si="12"/>
        <v>3719.6499999999996</v>
      </c>
      <c r="X41" s="4">
        <f t="shared" si="13"/>
        <v>1660.0900000000001</v>
      </c>
      <c r="Y41" s="5">
        <f t="shared" si="14"/>
        <v>1.4463027435376985</v>
      </c>
    </row>
    <row r="42" spans="1:25" x14ac:dyDescent="0.25">
      <c r="A42" s="2" t="s">
        <v>45</v>
      </c>
      <c r="B42" s="4">
        <f>0</f>
        <v>0</v>
      </c>
      <c r="C42" s="3"/>
      <c r="D42" s="4">
        <f t="shared" si="1"/>
        <v>0</v>
      </c>
      <c r="E42" s="5" t="str">
        <f t="shared" si="2"/>
        <v/>
      </c>
      <c r="F42" s="4">
        <f>0</f>
        <v>0</v>
      </c>
      <c r="G42" s="3"/>
      <c r="H42" s="4">
        <f t="shared" si="3"/>
        <v>0</v>
      </c>
      <c r="I42" s="5" t="str">
        <f t="shared" si="4"/>
        <v/>
      </c>
      <c r="J42" s="4">
        <f>0</f>
        <v>0</v>
      </c>
      <c r="K42" s="3"/>
      <c r="L42" s="4">
        <f t="shared" si="5"/>
        <v>0</v>
      </c>
      <c r="M42" s="5" t="str">
        <f t="shared" si="6"/>
        <v/>
      </c>
      <c r="N42" s="4">
        <f>0</f>
        <v>0</v>
      </c>
      <c r="O42" s="3"/>
      <c r="P42" s="4">
        <f t="shared" si="7"/>
        <v>0</v>
      </c>
      <c r="Q42" s="5" t="str">
        <f t="shared" si="8"/>
        <v/>
      </c>
      <c r="R42" s="4">
        <f>0</f>
        <v>0</v>
      </c>
      <c r="S42" s="3"/>
      <c r="T42" s="4">
        <f t="shared" si="9"/>
        <v>0</v>
      </c>
      <c r="U42" s="5" t="str">
        <f t="shared" si="10"/>
        <v/>
      </c>
      <c r="V42" s="4">
        <f t="shared" si="11"/>
        <v>0</v>
      </c>
      <c r="W42" s="4">
        <f t="shared" si="12"/>
        <v>0</v>
      </c>
      <c r="X42" s="4">
        <f t="shared" si="13"/>
        <v>0</v>
      </c>
      <c r="Y42" s="5" t="str">
        <f t="shared" si="14"/>
        <v/>
      </c>
    </row>
    <row r="43" spans="1:25" x14ac:dyDescent="0.25">
      <c r="A43" s="2" t="s">
        <v>46</v>
      </c>
      <c r="B43" s="6">
        <f>(((B39)+(B40))+(B41))+(B42)</f>
        <v>1587.42</v>
      </c>
      <c r="C43" s="6">
        <f>(((C39)+(C40))+(C41))+(C42)</f>
        <v>2125.5099999999998</v>
      </c>
      <c r="D43" s="6">
        <f t="shared" si="1"/>
        <v>-538.08999999999969</v>
      </c>
      <c r="E43" s="7">
        <f t="shared" si="2"/>
        <v>0.74684193440633084</v>
      </c>
      <c r="F43" s="6">
        <f>(((F39)+(F40))+(F41))+(F42)</f>
        <v>1587.42</v>
      </c>
      <c r="G43" s="6">
        <f>(((G39)+(G40))+(G41))+(G42)</f>
        <v>2125.5099999999998</v>
      </c>
      <c r="H43" s="6">
        <f t="shared" si="3"/>
        <v>-538.08999999999969</v>
      </c>
      <c r="I43" s="7">
        <f t="shared" si="4"/>
        <v>0.74684193440633084</v>
      </c>
      <c r="J43" s="6">
        <f>(((J39)+(J40))+(J41))+(J42)</f>
        <v>1320.96</v>
      </c>
      <c r="K43" s="6">
        <f>(((K39)+(K40))+(K41))+(K42)</f>
        <v>2125.5099999999998</v>
      </c>
      <c r="L43" s="6">
        <f t="shared" si="5"/>
        <v>-804.54999999999973</v>
      </c>
      <c r="M43" s="7">
        <f t="shared" si="6"/>
        <v>0.62147908031484222</v>
      </c>
      <c r="N43" s="6">
        <f>(((N39)+(N40))+(N41))+(N42)</f>
        <v>9287.42</v>
      </c>
      <c r="O43" s="6">
        <f>(((O39)+(O40))+(O41))+(O42)</f>
        <v>2125.5099999999998</v>
      </c>
      <c r="P43" s="6">
        <f t="shared" si="7"/>
        <v>7161.91</v>
      </c>
      <c r="Q43" s="7">
        <f t="shared" si="8"/>
        <v>4.369501907777428</v>
      </c>
      <c r="R43" s="6">
        <f>(((R39)+(R40))+(R41))+(R42)</f>
        <v>1587.42</v>
      </c>
      <c r="S43" s="6">
        <f>(((S39)+(S40))+(S41))+(S42)</f>
        <v>2125.5099999999998</v>
      </c>
      <c r="T43" s="6">
        <f t="shared" si="9"/>
        <v>-538.08999999999969</v>
      </c>
      <c r="U43" s="7">
        <f t="shared" si="10"/>
        <v>0.74684193440633084</v>
      </c>
      <c r="V43" s="6">
        <f t="shared" si="11"/>
        <v>15370.640000000001</v>
      </c>
      <c r="W43" s="6">
        <f t="shared" si="12"/>
        <v>10627.55</v>
      </c>
      <c r="X43" s="6">
        <f t="shared" si="13"/>
        <v>4743.090000000002</v>
      </c>
      <c r="Y43" s="7">
        <f t="shared" si="14"/>
        <v>1.4463013582622526</v>
      </c>
    </row>
    <row r="44" spans="1:25" x14ac:dyDescent="0.25">
      <c r="A44" s="2" t="s">
        <v>47</v>
      </c>
      <c r="B44" s="3"/>
      <c r="C44" s="3"/>
      <c r="D44" s="4">
        <f t="shared" si="1"/>
        <v>0</v>
      </c>
      <c r="E44" s="5" t="str">
        <f t="shared" si="2"/>
        <v/>
      </c>
      <c r="F44" s="3"/>
      <c r="G44" s="3"/>
      <c r="H44" s="4">
        <f t="shared" si="3"/>
        <v>0</v>
      </c>
      <c r="I44" s="5" t="str">
        <f t="shared" si="4"/>
        <v/>
      </c>
      <c r="J44" s="3"/>
      <c r="K44" s="3"/>
      <c r="L44" s="4">
        <f t="shared" si="5"/>
        <v>0</v>
      </c>
      <c r="M44" s="5" t="str">
        <f t="shared" si="6"/>
        <v/>
      </c>
      <c r="N44" s="3"/>
      <c r="O44" s="3"/>
      <c r="P44" s="4">
        <f t="shared" si="7"/>
        <v>0</v>
      </c>
      <c r="Q44" s="5" t="str">
        <f t="shared" si="8"/>
        <v/>
      </c>
      <c r="R44" s="3"/>
      <c r="S44" s="3"/>
      <c r="T44" s="4">
        <f t="shared" si="9"/>
        <v>0</v>
      </c>
      <c r="U44" s="5" t="str">
        <f t="shared" si="10"/>
        <v/>
      </c>
      <c r="V44" s="4">
        <f t="shared" si="11"/>
        <v>0</v>
      </c>
      <c r="W44" s="4">
        <f t="shared" si="12"/>
        <v>0</v>
      </c>
      <c r="X44" s="4">
        <f t="shared" si="13"/>
        <v>0</v>
      </c>
      <c r="Y44" s="5" t="str">
        <f t="shared" si="14"/>
        <v/>
      </c>
    </row>
    <row r="45" spans="1:25" x14ac:dyDescent="0.25">
      <c r="A45" s="2" t="s">
        <v>48</v>
      </c>
      <c r="B45" s="4">
        <f>210.98</f>
        <v>210.98</v>
      </c>
      <c r="C45" s="4">
        <f>210.98</f>
        <v>210.98</v>
      </c>
      <c r="D45" s="4">
        <f t="shared" si="1"/>
        <v>0</v>
      </c>
      <c r="E45" s="5">
        <f t="shared" si="2"/>
        <v>1</v>
      </c>
      <c r="F45" s="4">
        <f>210.98</f>
        <v>210.98</v>
      </c>
      <c r="G45" s="4">
        <f>210.98</f>
        <v>210.98</v>
      </c>
      <c r="H45" s="4">
        <f t="shared" si="3"/>
        <v>0</v>
      </c>
      <c r="I45" s="5">
        <f t="shared" si="4"/>
        <v>1</v>
      </c>
      <c r="J45" s="4">
        <f>210.98</f>
        <v>210.98</v>
      </c>
      <c r="K45" s="4">
        <f>210.98</f>
        <v>210.98</v>
      </c>
      <c r="L45" s="4">
        <f t="shared" si="5"/>
        <v>0</v>
      </c>
      <c r="M45" s="5">
        <f t="shared" si="6"/>
        <v>1</v>
      </c>
      <c r="N45" s="4">
        <f>210.98</f>
        <v>210.98</v>
      </c>
      <c r="O45" s="4">
        <f>210.98</f>
        <v>210.98</v>
      </c>
      <c r="P45" s="4">
        <f t="shared" si="7"/>
        <v>0</v>
      </c>
      <c r="Q45" s="5">
        <f t="shared" si="8"/>
        <v>1</v>
      </c>
      <c r="R45" s="4">
        <f>259.69</f>
        <v>259.69</v>
      </c>
      <c r="S45" s="4">
        <f>210.98</f>
        <v>210.98</v>
      </c>
      <c r="T45" s="4">
        <f t="shared" si="9"/>
        <v>48.710000000000008</v>
      </c>
      <c r="U45" s="5">
        <f t="shared" si="10"/>
        <v>1.2308749644516068</v>
      </c>
      <c r="V45" s="4">
        <f t="shared" si="11"/>
        <v>1103.6099999999999</v>
      </c>
      <c r="W45" s="4">
        <f t="shared" si="12"/>
        <v>1054.8999999999999</v>
      </c>
      <c r="X45" s="4">
        <f t="shared" si="13"/>
        <v>48.710000000000036</v>
      </c>
      <c r="Y45" s="5">
        <f t="shared" si="14"/>
        <v>1.0461749928903215</v>
      </c>
    </row>
    <row r="46" spans="1:25" x14ac:dyDescent="0.25">
      <c r="A46" s="2" t="s">
        <v>49</v>
      </c>
      <c r="B46" s="4">
        <f>113.61</f>
        <v>113.61</v>
      </c>
      <c r="C46" s="4">
        <f>113.6</f>
        <v>113.6</v>
      </c>
      <c r="D46" s="4">
        <f t="shared" ref="D46:D77" si="15">(B46)-(C46)</f>
        <v>1.0000000000005116E-2</v>
      </c>
      <c r="E46" s="5">
        <f t="shared" ref="E46:E77" si="16">IF(C46=0,"",(B46)/(C46))</f>
        <v>1.0000880281690141</v>
      </c>
      <c r="F46" s="4">
        <f>113.61</f>
        <v>113.61</v>
      </c>
      <c r="G46" s="4">
        <f>113.6</f>
        <v>113.6</v>
      </c>
      <c r="H46" s="4">
        <f t="shared" ref="H46:H77" si="17">(F46)-(G46)</f>
        <v>1.0000000000005116E-2</v>
      </c>
      <c r="I46" s="5">
        <f t="shared" ref="I46:I77" si="18">IF(G46=0,"",(F46)/(G46))</f>
        <v>1.0000880281690141</v>
      </c>
      <c r="J46" s="4">
        <f>113.61</f>
        <v>113.61</v>
      </c>
      <c r="K46" s="4">
        <f>113.6</f>
        <v>113.6</v>
      </c>
      <c r="L46" s="4">
        <f t="shared" ref="L46:L77" si="19">(J46)-(K46)</f>
        <v>1.0000000000005116E-2</v>
      </c>
      <c r="M46" s="5">
        <f t="shared" ref="M46:M77" si="20">IF(K46=0,"",(J46)/(K46))</f>
        <v>1.0000880281690141</v>
      </c>
      <c r="N46" s="4">
        <f>113.61</f>
        <v>113.61</v>
      </c>
      <c r="O46" s="4">
        <f>113.6</f>
        <v>113.6</v>
      </c>
      <c r="P46" s="4">
        <f t="shared" ref="P46:P77" si="21">(N46)-(O46)</f>
        <v>1.0000000000005116E-2</v>
      </c>
      <c r="Q46" s="5">
        <f t="shared" ref="Q46:Q77" si="22">IF(O46=0,"",(N46)/(O46))</f>
        <v>1.0000880281690141</v>
      </c>
      <c r="R46" s="4">
        <f>139.84</f>
        <v>139.84</v>
      </c>
      <c r="S46" s="4">
        <f>113.6</f>
        <v>113.6</v>
      </c>
      <c r="T46" s="4">
        <f t="shared" ref="T46:T77" si="23">(R46)-(S46)</f>
        <v>26.240000000000009</v>
      </c>
      <c r="U46" s="5">
        <f t="shared" ref="U46:U77" si="24">IF(S46=0,"",(R46)/(S46))</f>
        <v>1.2309859154929579</v>
      </c>
      <c r="V46" s="4">
        <f t="shared" ref="V46:V77" si="25">((((B46)+(F46))+(J46))+(N46))+(R46)</f>
        <v>594.28</v>
      </c>
      <c r="W46" s="4">
        <f t="shared" ref="W46:W77" si="26">((((C46)+(G46))+(K46))+(O46))+(S46)</f>
        <v>568</v>
      </c>
      <c r="X46" s="4">
        <f t="shared" ref="X46:X77" si="27">(V46)-(W46)</f>
        <v>26.279999999999973</v>
      </c>
      <c r="Y46" s="5">
        <f t="shared" ref="Y46:Y77" si="28">IF(W46=0,"",(V46)/(W46))</f>
        <v>1.0462676056338027</v>
      </c>
    </row>
    <row r="47" spans="1:25" x14ac:dyDescent="0.25">
      <c r="A47" s="2" t="s">
        <v>50</v>
      </c>
      <c r="B47" s="4">
        <f>0</f>
        <v>0</v>
      </c>
      <c r="C47" s="3"/>
      <c r="D47" s="4">
        <f t="shared" si="15"/>
        <v>0</v>
      </c>
      <c r="E47" s="5" t="str">
        <f t="shared" si="16"/>
        <v/>
      </c>
      <c r="F47" s="4">
        <f>0</f>
        <v>0</v>
      </c>
      <c r="G47" s="3"/>
      <c r="H47" s="4">
        <f t="shared" si="17"/>
        <v>0</v>
      </c>
      <c r="I47" s="5" t="str">
        <f t="shared" si="18"/>
        <v/>
      </c>
      <c r="J47" s="4">
        <f>0</f>
        <v>0</v>
      </c>
      <c r="K47" s="3"/>
      <c r="L47" s="4">
        <f t="shared" si="19"/>
        <v>0</v>
      </c>
      <c r="M47" s="5" t="str">
        <f t="shared" si="20"/>
        <v/>
      </c>
      <c r="N47" s="4">
        <f>0</f>
        <v>0</v>
      </c>
      <c r="O47" s="3"/>
      <c r="P47" s="4">
        <f t="shared" si="21"/>
        <v>0</v>
      </c>
      <c r="Q47" s="5" t="str">
        <f t="shared" si="22"/>
        <v/>
      </c>
      <c r="R47" s="4">
        <f>0</f>
        <v>0</v>
      </c>
      <c r="S47" s="3"/>
      <c r="T47" s="4">
        <f t="shared" si="23"/>
        <v>0</v>
      </c>
      <c r="U47" s="5" t="str">
        <f t="shared" si="24"/>
        <v/>
      </c>
      <c r="V47" s="4">
        <f t="shared" si="25"/>
        <v>0</v>
      </c>
      <c r="W47" s="4">
        <f t="shared" si="26"/>
        <v>0</v>
      </c>
      <c r="X47" s="4">
        <f t="shared" si="27"/>
        <v>0</v>
      </c>
      <c r="Y47" s="5" t="str">
        <f t="shared" si="28"/>
        <v/>
      </c>
    </row>
    <row r="48" spans="1:25" x14ac:dyDescent="0.25">
      <c r="A48" s="2" t="s">
        <v>51</v>
      </c>
      <c r="B48" s="6">
        <f>(((B44)+(B45))+(B46))+(B47)</f>
        <v>324.58999999999997</v>
      </c>
      <c r="C48" s="6">
        <f>(((C44)+(C45))+(C46))+(C47)</f>
        <v>324.58</v>
      </c>
      <c r="D48" s="6">
        <f t="shared" si="15"/>
        <v>9.9999999999909051E-3</v>
      </c>
      <c r="E48" s="7">
        <f t="shared" si="16"/>
        <v>1.0000308090455357</v>
      </c>
      <c r="F48" s="6">
        <f>(((F44)+(F45))+(F46))+(F47)</f>
        <v>324.58999999999997</v>
      </c>
      <c r="G48" s="6">
        <f>(((G44)+(G45))+(G46))+(G47)</f>
        <v>324.58</v>
      </c>
      <c r="H48" s="6">
        <f t="shared" si="17"/>
        <v>9.9999999999909051E-3</v>
      </c>
      <c r="I48" s="7">
        <f t="shared" si="18"/>
        <v>1.0000308090455357</v>
      </c>
      <c r="J48" s="6">
        <f>(((J44)+(J45))+(J46))+(J47)</f>
        <v>324.58999999999997</v>
      </c>
      <c r="K48" s="6">
        <f>(((K44)+(K45))+(K46))+(K47)</f>
        <v>324.58</v>
      </c>
      <c r="L48" s="6">
        <f t="shared" si="19"/>
        <v>9.9999999999909051E-3</v>
      </c>
      <c r="M48" s="7">
        <f t="shared" si="20"/>
        <v>1.0000308090455357</v>
      </c>
      <c r="N48" s="6">
        <f>(((N44)+(N45))+(N46))+(N47)</f>
        <v>324.58999999999997</v>
      </c>
      <c r="O48" s="6">
        <f>(((O44)+(O45))+(O46))+(O47)</f>
        <v>324.58</v>
      </c>
      <c r="P48" s="6">
        <f t="shared" si="21"/>
        <v>9.9999999999909051E-3</v>
      </c>
      <c r="Q48" s="7">
        <f t="shared" si="22"/>
        <v>1.0000308090455357</v>
      </c>
      <c r="R48" s="6">
        <f>(((R44)+(R45))+(R46))+(R47)</f>
        <v>399.53</v>
      </c>
      <c r="S48" s="6">
        <f>(((S44)+(S45))+(S46))+(S47)</f>
        <v>324.58</v>
      </c>
      <c r="T48" s="6">
        <f t="shared" si="23"/>
        <v>74.949999999999989</v>
      </c>
      <c r="U48" s="7">
        <f t="shared" si="24"/>
        <v>1.2309137962905909</v>
      </c>
      <c r="V48" s="6">
        <f t="shared" si="25"/>
        <v>1697.8899999999999</v>
      </c>
      <c r="W48" s="6">
        <f t="shared" si="26"/>
        <v>1622.8999999999999</v>
      </c>
      <c r="X48" s="6">
        <f t="shared" si="27"/>
        <v>74.990000000000009</v>
      </c>
      <c r="Y48" s="7">
        <f t="shared" si="28"/>
        <v>1.0462074064945468</v>
      </c>
    </row>
    <row r="49" spans="1:25" x14ac:dyDescent="0.25">
      <c r="A49" s="2" t="s">
        <v>52</v>
      </c>
      <c r="B49" s="3"/>
      <c r="C49" s="3"/>
      <c r="D49" s="4">
        <f t="shared" si="15"/>
        <v>0</v>
      </c>
      <c r="E49" s="5" t="str">
        <f t="shared" si="16"/>
        <v/>
      </c>
      <c r="F49" s="3"/>
      <c r="G49" s="3"/>
      <c r="H49" s="4">
        <f t="shared" si="17"/>
        <v>0</v>
      </c>
      <c r="I49" s="5" t="str">
        <f t="shared" si="18"/>
        <v/>
      </c>
      <c r="J49" s="3"/>
      <c r="K49" s="3"/>
      <c r="L49" s="4">
        <f t="shared" si="19"/>
        <v>0</v>
      </c>
      <c r="M49" s="5" t="str">
        <f t="shared" si="20"/>
        <v/>
      </c>
      <c r="N49" s="3"/>
      <c r="O49" s="3"/>
      <c r="P49" s="4">
        <f t="shared" si="21"/>
        <v>0</v>
      </c>
      <c r="Q49" s="5" t="str">
        <f t="shared" si="22"/>
        <v/>
      </c>
      <c r="R49" s="3"/>
      <c r="S49" s="3"/>
      <c r="T49" s="4">
        <f t="shared" si="23"/>
        <v>0</v>
      </c>
      <c r="U49" s="5" t="str">
        <f t="shared" si="24"/>
        <v/>
      </c>
      <c r="V49" s="4">
        <f t="shared" si="25"/>
        <v>0</v>
      </c>
      <c r="W49" s="4">
        <f t="shared" si="26"/>
        <v>0</v>
      </c>
      <c r="X49" s="4">
        <f t="shared" si="27"/>
        <v>0</v>
      </c>
      <c r="Y49" s="5" t="str">
        <f t="shared" si="28"/>
        <v/>
      </c>
    </row>
    <row r="50" spans="1:25" x14ac:dyDescent="0.25">
      <c r="A50" s="2" t="s">
        <v>53</v>
      </c>
      <c r="B50" s="4">
        <f>1086.94</f>
        <v>1086.94</v>
      </c>
      <c r="C50" s="4">
        <f>774.8</f>
        <v>774.8</v>
      </c>
      <c r="D50" s="4">
        <f t="shared" si="15"/>
        <v>312.1400000000001</v>
      </c>
      <c r="E50" s="5">
        <f t="shared" si="16"/>
        <v>1.4028652555498196</v>
      </c>
      <c r="F50" s="4">
        <f>680.25</f>
        <v>680.25</v>
      </c>
      <c r="G50" s="4">
        <f>774.8</f>
        <v>774.8</v>
      </c>
      <c r="H50" s="4">
        <f t="shared" si="17"/>
        <v>-94.549999999999955</v>
      </c>
      <c r="I50" s="5">
        <f t="shared" si="18"/>
        <v>0.87796850800206505</v>
      </c>
      <c r="J50" s="4">
        <f>666.54</f>
        <v>666.54</v>
      </c>
      <c r="K50" s="4">
        <f>774.8</f>
        <v>774.8</v>
      </c>
      <c r="L50" s="4">
        <f t="shared" si="19"/>
        <v>-108.25999999999999</v>
      </c>
      <c r="M50" s="5">
        <f t="shared" si="20"/>
        <v>0.86027361899845123</v>
      </c>
      <c r="N50" s="4">
        <f>657.4</f>
        <v>657.4</v>
      </c>
      <c r="O50" s="4">
        <f>774.8</f>
        <v>774.8</v>
      </c>
      <c r="P50" s="4">
        <f t="shared" si="21"/>
        <v>-117.39999999999998</v>
      </c>
      <c r="Q50" s="5">
        <f t="shared" si="22"/>
        <v>0.84847702632937538</v>
      </c>
      <c r="R50" s="4">
        <f>753.36</f>
        <v>753.36</v>
      </c>
      <c r="S50" s="4">
        <f>774.8</f>
        <v>774.8</v>
      </c>
      <c r="T50" s="4">
        <f t="shared" si="23"/>
        <v>-21.439999999999941</v>
      </c>
      <c r="U50" s="5">
        <f t="shared" si="24"/>
        <v>0.97232834279814151</v>
      </c>
      <c r="V50" s="4">
        <f t="shared" si="25"/>
        <v>3844.4900000000002</v>
      </c>
      <c r="W50" s="4">
        <f t="shared" si="26"/>
        <v>3874</v>
      </c>
      <c r="X50" s="4">
        <f t="shared" si="27"/>
        <v>-29.509999999999764</v>
      </c>
      <c r="Y50" s="5">
        <f t="shared" si="28"/>
        <v>0.99238255033557055</v>
      </c>
    </row>
    <row r="51" spans="1:25" x14ac:dyDescent="0.25">
      <c r="A51" s="2" t="s">
        <v>54</v>
      </c>
      <c r="B51" s="4">
        <f>585.27</f>
        <v>585.27</v>
      </c>
      <c r="C51" s="4">
        <f>417.2</f>
        <v>417.2</v>
      </c>
      <c r="D51" s="4">
        <f t="shared" si="15"/>
        <v>168.07</v>
      </c>
      <c r="E51" s="5">
        <f t="shared" si="16"/>
        <v>1.4028523489932885</v>
      </c>
      <c r="F51" s="4">
        <f>366.29</f>
        <v>366.29</v>
      </c>
      <c r="G51" s="4">
        <f>417.2</f>
        <v>417.2</v>
      </c>
      <c r="H51" s="4">
        <f t="shared" si="17"/>
        <v>-50.909999999999968</v>
      </c>
      <c r="I51" s="5">
        <f t="shared" si="18"/>
        <v>0.87797219558964534</v>
      </c>
      <c r="J51" s="4">
        <f>358.91</f>
        <v>358.91</v>
      </c>
      <c r="K51" s="4">
        <f>417.2</f>
        <v>417.2</v>
      </c>
      <c r="L51" s="4">
        <f t="shared" si="19"/>
        <v>-58.289999999999964</v>
      </c>
      <c r="M51" s="5">
        <f t="shared" si="20"/>
        <v>0.86028283796740179</v>
      </c>
      <c r="N51" s="4">
        <f>353.99</f>
        <v>353.99</v>
      </c>
      <c r="O51" s="4">
        <f>417.2</f>
        <v>417.2</v>
      </c>
      <c r="P51" s="4">
        <f t="shared" si="21"/>
        <v>-63.20999999999998</v>
      </c>
      <c r="Q51" s="5">
        <f t="shared" si="22"/>
        <v>0.84848993288590613</v>
      </c>
      <c r="R51" s="4">
        <f>405.66</f>
        <v>405.66</v>
      </c>
      <c r="S51" s="4">
        <f>417.2</f>
        <v>417.2</v>
      </c>
      <c r="T51" s="4">
        <f t="shared" si="23"/>
        <v>-11.539999999999964</v>
      </c>
      <c r="U51" s="5">
        <f t="shared" si="24"/>
        <v>0.97233940556088216</v>
      </c>
      <c r="V51" s="4">
        <f t="shared" si="25"/>
        <v>2070.12</v>
      </c>
      <c r="W51" s="4">
        <f t="shared" si="26"/>
        <v>2086</v>
      </c>
      <c r="X51" s="4">
        <f t="shared" si="27"/>
        <v>-15.880000000000109</v>
      </c>
      <c r="Y51" s="5">
        <f t="shared" si="28"/>
        <v>0.99238734419942465</v>
      </c>
    </row>
    <row r="52" spans="1:25" x14ac:dyDescent="0.25">
      <c r="A52" s="2" t="s">
        <v>55</v>
      </c>
      <c r="B52" s="4">
        <f>0</f>
        <v>0</v>
      </c>
      <c r="C52" s="3"/>
      <c r="D52" s="4">
        <f t="shared" si="15"/>
        <v>0</v>
      </c>
      <c r="E52" s="5" t="str">
        <f t="shared" si="16"/>
        <v/>
      </c>
      <c r="F52" s="4">
        <f>0</f>
        <v>0</v>
      </c>
      <c r="G52" s="3"/>
      <c r="H52" s="4">
        <f t="shared" si="17"/>
        <v>0</v>
      </c>
      <c r="I52" s="5" t="str">
        <f t="shared" si="18"/>
        <v/>
      </c>
      <c r="J52" s="4">
        <f>0</f>
        <v>0</v>
      </c>
      <c r="K52" s="3"/>
      <c r="L52" s="4">
        <f t="shared" si="19"/>
        <v>0</v>
      </c>
      <c r="M52" s="5" t="str">
        <f t="shared" si="20"/>
        <v/>
      </c>
      <c r="N52" s="4">
        <f>0</f>
        <v>0</v>
      </c>
      <c r="O52" s="3"/>
      <c r="P52" s="4">
        <f t="shared" si="21"/>
        <v>0</v>
      </c>
      <c r="Q52" s="5" t="str">
        <f t="shared" si="22"/>
        <v/>
      </c>
      <c r="R52" s="4">
        <f>0</f>
        <v>0</v>
      </c>
      <c r="S52" s="3"/>
      <c r="T52" s="4">
        <f t="shared" si="23"/>
        <v>0</v>
      </c>
      <c r="U52" s="5" t="str">
        <f t="shared" si="24"/>
        <v/>
      </c>
      <c r="V52" s="4">
        <f t="shared" si="25"/>
        <v>0</v>
      </c>
      <c r="W52" s="4">
        <f t="shared" si="26"/>
        <v>0</v>
      </c>
      <c r="X52" s="4">
        <f t="shared" si="27"/>
        <v>0</v>
      </c>
      <c r="Y52" s="5" t="str">
        <f t="shared" si="28"/>
        <v/>
      </c>
    </row>
    <row r="53" spans="1:25" x14ac:dyDescent="0.25">
      <c r="A53" s="2" t="s">
        <v>56</v>
      </c>
      <c r="B53" s="6">
        <f>(((B49)+(B50))+(B51))+(B52)</f>
        <v>1672.21</v>
      </c>
      <c r="C53" s="6">
        <f>(((C49)+(C50))+(C51))+(C52)</f>
        <v>1192</v>
      </c>
      <c r="D53" s="6">
        <f t="shared" si="15"/>
        <v>480.21000000000004</v>
      </c>
      <c r="E53" s="7">
        <f t="shared" si="16"/>
        <v>1.4028607382550335</v>
      </c>
      <c r="F53" s="6">
        <f>(((F49)+(F50))+(F51))+(F52)</f>
        <v>1046.54</v>
      </c>
      <c r="G53" s="6">
        <f>(((G49)+(G50))+(G51))+(G52)</f>
        <v>1192</v>
      </c>
      <c r="H53" s="6">
        <f t="shared" si="17"/>
        <v>-145.46000000000004</v>
      </c>
      <c r="I53" s="7">
        <f t="shared" si="18"/>
        <v>0.87796979865771807</v>
      </c>
      <c r="J53" s="6">
        <f>(((J49)+(J50))+(J51))+(J52)</f>
        <v>1025.45</v>
      </c>
      <c r="K53" s="6">
        <f>(((K49)+(K50))+(K51))+(K52)</f>
        <v>1192</v>
      </c>
      <c r="L53" s="6">
        <f t="shared" si="19"/>
        <v>-166.54999999999995</v>
      </c>
      <c r="M53" s="7">
        <f t="shared" si="20"/>
        <v>0.86027684563758389</v>
      </c>
      <c r="N53" s="6">
        <f>(((N49)+(N50))+(N51))+(N52)</f>
        <v>1011.39</v>
      </c>
      <c r="O53" s="6">
        <f>(((O49)+(O50))+(O51))+(O52)</f>
        <v>1192</v>
      </c>
      <c r="P53" s="6">
        <f t="shared" si="21"/>
        <v>-180.61</v>
      </c>
      <c r="Q53" s="7">
        <f t="shared" si="22"/>
        <v>0.84848154362416106</v>
      </c>
      <c r="R53" s="6">
        <f>(((R49)+(R50))+(R51))+(R52)</f>
        <v>1159.02</v>
      </c>
      <c r="S53" s="6">
        <f>(((S49)+(S50))+(S51))+(S52)</f>
        <v>1192</v>
      </c>
      <c r="T53" s="6">
        <f t="shared" si="23"/>
        <v>-32.980000000000018</v>
      </c>
      <c r="U53" s="7">
        <f t="shared" si="24"/>
        <v>0.97233221476510068</v>
      </c>
      <c r="V53" s="6">
        <f t="shared" si="25"/>
        <v>5914.6100000000006</v>
      </c>
      <c r="W53" s="6">
        <f t="shared" si="26"/>
        <v>5960</v>
      </c>
      <c r="X53" s="6">
        <f t="shared" si="27"/>
        <v>-45.389999999999418</v>
      </c>
      <c r="Y53" s="7">
        <f t="shared" si="28"/>
        <v>0.9923842281879196</v>
      </c>
    </row>
    <row r="54" spans="1:25" x14ac:dyDescent="0.25">
      <c r="A54" s="2" t="s">
        <v>57</v>
      </c>
      <c r="B54" s="3"/>
      <c r="C54" s="3"/>
      <c r="D54" s="4">
        <f t="shared" si="15"/>
        <v>0</v>
      </c>
      <c r="E54" s="5" t="str">
        <f t="shared" si="16"/>
        <v/>
      </c>
      <c r="F54" s="3"/>
      <c r="G54" s="3"/>
      <c r="H54" s="4">
        <f t="shared" si="17"/>
        <v>0</v>
      </c>
      <c r="I54" s="5" t="str">
        <f t="shared" si="18"/>
        <v/>
      </c>
      <c r="J54" s="3"/>
      <c r="K54" s="3"/>
      <c r="L54" s="4">
        <f t="shared" si="19"/>
        <v>0</v>
      </c>
      <c r="M54" s="5" t="str">
        <f t="shared" si="20"/>
        <v/>
      </c>
      <c r="N54" s="3"/>
      <c r="O54" s="3"/>
      <c r="P54" s="4">
        <f t="shared" si="21"/>
        <v>0</v>
      </c>
      <c r="Q54" s="5" t="str">
        <f t="shared" si="22"/>
        <v/>
      </c>
      <c r="R54" s="3"/>
      <c r="S54" s="3"/>
      <c r="T54" s="4">
        <f t="shared" si="23"/>
        <v>0</v>
      </c>
      <c r="U54" s="5" t="str">
        <f t="shared" si="24"/>
        <v/>
      </c>
      <c r="V54" s="4">
        <f t="shared" si="25"/>
        <v>0</v>
      </c>
      <c r="W54" s="4">
        <f t="shared" si="26"/>
        <v>0</v>
      </c>
      <c r="X54" s="4">
        <f t="shared" si="27"/>
        <v>0</v>
      </c>
      <c r="Y54" s="5" t="str">
        <f t="shared" si="28"/>
        <v/>
      </c>
    </row>
    <row r="55" spans="1:25" x14ac:dyDescent="0.25">
      <c r="A55" s="2" t="s">
        <v>58</v>
      </c>
      <c r="B55" s="4">
        <f>234.73</f>
        <v>234.73</v>
      </c>
      <c r="C55" s="4">
        <f>268.94</f>
        <v>268.94</v>
      </c>
      <c r="D55" s="4">
        <f t="shared" si="15"/>
        <v>-34.210000000000008</v>
      </c>
      <c r="E55" s="5">
        <f t="shared" si="16"/>
        <v>0.87279690637316876</v>
      </c>
      <c r="F55" s="4">
        <f>244.17</f>
        <v>244.17</v>
      </c>
      <c r="G55" s="4">
        <f>268.94</f>
        <v>268.94</v>
      </c>
      <c r="H55" s="4">
        <f t="shared" si="17"/>
        <v>-24.77000000000001</v>
      </c>
      <c r="I55" s="5">
        <f t="shared" si="18"/>
        <v>0.90789767234327357</v>
      </c>
      <c r="J55" s="4">
        <f>366.25</f>
        <v>366.25</v>
      </c>
      <c r="K55" s="4">
        <f>268.94</f>
        <v>268.94</v>
      </c>
      <c r="L55" s="4">
        <f t="shared" si="19"/>
        <v>97.31</v>
      </c>
      <c r="M55" s="5">
        <f t="shared" si="20"/>
        <v>1.3618279170075109</v>
      </c>
      <c r="N55" s="4">
        <f>244.17</f>
        <v>244.17</v>
      </c>
      <c r="O55" s="4">
        <f>268.94</f>
        <v>268.94</v>
      </c>
      <c r="P55" s="4">
        <f t="shared" si="21"/>
        <v>-24.77000000000001</v>
      </c>
      <c r="Q55" s="5">
        <f t="shared" si="22"/>
        <v>0.90789767234327357</v>
      </c>
      <c r="R55" s="4">
        <f>244.17</f>
        <v>244.17</v>
      </c>
      <c r="S55" s="4">
        <f>268.94</f>
        <v>268.94</v>
      </c>
      <c r="T55" s="4">
        <f t="shared" si="23"/>
        <v>-24.77000000000001</v>
      </c>
      <c r="U55" s="5">
        <f t="shared" si="24"/>
        <v>0.90789767234327357</v>
      </c>
      <c r="V55" s="4">
        <f t="shared" si="25"/>
        <v>1333.49</v>
      </c>
      <c r="W55" s="4">
        <f t="shared" si="26"/>
        <v>1344.7</v>
      </c>
      <c r="X55" s="4">
        <f t="shared" si="27"/>
        <v>-11.210000000000036</v>
      </c>
      <c r="Y55" s="5">
        <f t="shared" si="28"/>
        <v>0.9916635680821001</v>
      </c>
    </row>
    <row r="56" spans="1:25" x14ac:dyDescent="0.25">
      <c r="A56" s="2" t="s">
        <v>59</v>
      </c>
      <c r="B56" s="4">
        <f>126.4</f>
        <v>126.4</v>
      </c>
      <c r="C56" s="4">
        <f>144.81</f>
        <v>144.81</v>
      </c>
      <c r="D56" s="4">
        <f t="shared" si="15"/>
        <v>-18.409999999999997</v>
      </c>
      <c r="E56" s="5">
        <f t="shared" si="16"/>
        <v>0.87286789586354541</v>
      </c>
      <c r="F56" s="4">
        <f>131.47</f>
        <v>131.47</v>
      </c>
      <c r="G56" s="4">
        <f>144.81</f>
        <v>144.81</v>
      </c>
      <c r="H56" s="4">
        <f t="shared" si="17"/>
        <v>-13.340000000000003</v>
      </c>
      <c r="I56" s="5">
        <f t="shared" si="18"/>
        <v>0.90787929010427459</v>
      </c>
      <c r="J56" s="4">
        <f>197.21</f>
        <v>197.21</v>
      </c>
      <c r="K56" s="4">
        <f>144.81</f>
        <v>144.81</v>
      </c>
      <c r="L56" s="4">
        <f t="shared" si="19"/>
        <v>52.400000000000006</v>
      </c>
      <c r="M56" s="5">
        <f t="shared" si="20"/>
        <v>1.3618534631586217</v>
      </c>
      <c r="N56" s="4">
        <f>131.47</f>
        <v>131.47</v>
      </c>
      <c r="O56" s="4">
        <f>144.81</f>
        <v>144.81</v>
      </c>
      <c r="P56" s="4">
        <f t="shared" si="21"/>
        <v>-13.340000000000003</v>
      </c>
      <c r="Q56" s="5">
        <f t="shared" si="22"/>
        <v>0.90787929010427459</v>
      </c>
      <c r="R56" s="4">
        <f>131.47</f>
        <v>131.47</v>
      </c>
      <c r="S56" s="4">
        <f>144.81</f>
        <v>144.81</v>
      </c>
      <c r="T56" s="4">
        <f t="shared" si="23"/>
        <v>-13.340000000000003</v>
      </c>
      <c r="U56" s="5">
        <f t="shared" si="24"/>
        <v>0.90787929010427459</v>
      </c>
      <c r="V56" s="4">
        <f t="shared" si="25"/>
        <v>718.0200000000001</v>
      </c>
      <c r="W56" s="4">
        <f t="shared" si="26"/>
        <v>724.05</v>
      </c>
      <c r="X56" s="4">
        <f t="shared" si="27"/>
        <v>-6.029999999999859</v>
      </c>
      <c r="Y56" s="5">
        <f t="shared" si="28"/>
        <v>0.9916718458669983</v>
      </c>
    </row>
    <row r="57" spans="1:25" x14ac:dyDescent="0.25">
      <c r="A57" s="2" t="s">
        <v>60</v>
      </c>
      <c r="B57" s="4">
        <f>0</f>
        <v>0</v>
      </c>
      <c r="C57" s="3"/>
      <c r="D57" s="4">
        <f t="shared" si="15"/>
        <v>0</v>
      </c>
      <c r="E57" s="5" t="str">
        <f t="shared" si="16"/>
        <v/>
      </c>
      <c r="F57" s="4">
        <f>0</f>
        <v>0</v>
      </c>
      <c r="G57" s="3"/>
      <c r="H57" s="4">
        <f t="shared" si="17"/>
        <v>0</v>
      </c>
      <c r="I57" s="5" t="str">
        <f t="shared" si="18"/>
        <v/>
      </c>
      <c r="J57" s="4">
        <f>0</f>
        <v>0</v>
      </c>
      <c r="K57" s="3"/>
      <c r="L57" s="4">
        <f t="shared" si="19"/>
        <v>0</v>
      </c>
      <c r="M57" s="5" t="str">
        <f t="shared" si="20"/>
        <v/>
      </c>
      <c r="N57" s="4">
        <f>0</f>
        <v>0</v>
      </c>
      <c r="O57" s="3"/>
      <c r="P57" s="4">
        <f t="shared" si="21"/>
        <v>0</v>
      </c>
      <c r="Q57" s="5" t="str">
        <f t="shared" si="22"/>
        <v/>
      </c>
      <c r="R57" s="4">
        <f>0</f>
        <v>0</v>
      </c>
      <c r="S57" s="3"/>
      <c r="T57" s="4">
        <f t="shared" si="23"/>
        <v>0</v>
      </c>
      <c r="U57" s="5" t="str">
        <f t="shared" si="24"/>
        <v/>
      </c>
      <c r="V57" s="4">
        <f t="shared" si="25"/>
        <v>0</v>
      </c>
      <c r="W57" s="4">
        <f t="shared" si="26"/>
        <v>0</v>
      </c>
      <c r="X57" s="4">
        <f t="shared" si="27"/>
        <v>0</v>
      </c>
      <c r="Y57" s="5" t="str">
        <f t="shared" si="28"/>
        <v/>
      </c>
    </row>
    <row r="58" spans="1:25" x14ac:dyDescent="0.25">
      <c r="A58" s="2" t="s">
        <v>61</v>
      </c>
      <c r="B58" s="6">
        <f>(((B54)+(B55))+(B56))+(B57)</f>
        <v>361.13</v>
      </c>
      <c r="C58" s="6">
        <f>(((C54)+(C55))+(C56))+(C57)</f>
        <v>413.75</v>
      </c>
      <c r="D58" s="6">
        <f t="shared" si="15"/>
        <v>-52.620000000000005</v>
      </c>
      <c r="E58" s="7">
        <f t="shared" si="16"/>
        <v>0.87282175226586101</v>
      </c>
      <c r="F58" s="6">
        <f>(((F54)+(F55))+(F56))+(F57)</f>
        <v>375.64</v>
      </c>
      <c r="G58" s="6">
        <f>(((G54)+(G55))+(G56))+(G57)</f>
        <v>413.75</v>
      </c>
      <c r="H58" s="6">
        <f t="shared" si="17"/>
        <v>-38.110000000000014</v>
      </c>
      <c r="I58" s="7">
        <f t="shared" si="18"/>
        <v>0.90789123867069488</v>
      </c>
      <c r="J58" s="6">
        <f>(((J54)+(J55))+(J56))+(J57)</f>
        <v>563.46</v>
      </c>
      <c r="K58" s="6">
        <f>(((K54)+(K55))+(K56))+(K57)</f>
        <v>413.75</v>
      </c>
      <c r="L58" s="6">
        <f t="shared" si="19"/>
        <v>149.71000000000004</v>
      </c>
      <c r="M58" s="7">
        <f t="shared" si="20"/>
        <v>1.3618368580060425</v>
      </c>
      <c r="N58" s="6">
        <f>(((N54)+(N55))+(N56))+(N57)</f>
        <v>375.64</v>
      </c>
      <c r="O58" s="6">
        <f>(((O54)+(O55))+(O56))+(O57)</f>
        <v>413.75</v>
      </c>
      <c r="P58" s="6">
        <f t="shared" si="21"/>
        <v>-38.110000000000014</v>
      </c>
      <c r="Q58" s="7">
        <f t="shared" si="22"/>
        <v>0.90789123867069488</v>
      </c>
      <c r="R58" s="6">
        <f>(((R54)+(R55))+(R56))+(R57)</f>
        <v>375.64</v>
      </c>
      <c r="S58" s="6">
        <f>(((S54)+(S55))+(S56))+(S57)</f>
        <v>413.75</v>
      </c>
      <c r="T58" s="6">
        <f t="shared" si="23"/>
        <v>-38.110000000000014</v>
      </c>
      <c r="U58" s="7">
        <f t="shared" si="24"/>
        <v>0.90789123867069488</v>
      </c>
      <c r="V58" s="6">
        <f t="shared" si="25"/>
        <v>2051.5099999999998</v>
      </c>
      <c r="W58" s="6">
        <f t="shared" si="26"/>
        <v>2068.75</v>
      </c>
      <c r="X58" s="6">
        <f t="shared" si="27"/>
        <v>-17.240000000000236</v>
      </c>
      <c r="Y58" s="7">
        <f t="shared" si="28"/>
        <v>0.99166646525679747</v>
      </c>
    </row>
    <row r="59" spans="1:25" x14ac:dyDescent="0.25">
      <c r="A59" s="2" t="s">
        <v>62</v>
      </c>
      <c r="B59" s="3"/>
      <c r="C59" s="3"/>
      <c r="D59" s="4">
        <f t="shared" si="15"/>
        <v>0</v>
      </c>
      <c r="E59" s="5" t="str">
        <f t="shared" si="16"/>
        <v/>
      </c>
      <c r="F59" s="3"/>
      <c r="G59" s="3"/>
      <c r="H59" s="4">
        <f t="shared" si="17"/>
        <v>0</v>
      </c>
      <c r="I59" s="5" t="str">
        <f t="shared" si="18"/>
        <v/>
      </c>
      <c r="J59" s="3"/>
      <c r="K59" s="3"/>
      <c r="L59" s="4">
        <f t="shared" si="19"/>
        <v>0</v>
      </c>
      <c r="M59" s="5" t="str">
        <f t="shared" si="20"/>
        <v/>
      </c>
      <c r="N59" s="3"/>
      <c r="O59" s="3"/>
      <c r="P59" s="4">
        <f t="shared" si="21"/>
        <v>0</v>
      </c>
      <c r="Q59" s="5" t="str">
        <f t="shared" si="22"/>
        <v/>
      </c>
      <c r="R59" s="3"/>
      <c r="S59" s="3"/>
      <c r="T59" s="4">
        <f t="shared" si="23"/>
        <v>0</v>
      </c>
      <c r="U59" s="5" t="str">
        <f t="shared" si="24"/>
        <v/>
      </c>
      <c r="V59" s="4">
        <f t="shared" si="25"/>
        <v>0</v>
      </c>
      <c r="W59" s="4">
        <f t="shared" si="26"/>
        <v>0</v>
      </c>
      <c r="X59" s="4">
        <f t="shared" si="27"/>
        <v>0</v>
      </c>
      <c r="Y59" s="5" t="str">
        <f t="shared" si="28"/>
        <v/>
      </c>
    </row>
    <row r="60" spans="1:25" x14ac:dyDescent="0.25">
      <c r="A60" s="2" t="s">
        <v>63</v>
      </c>
      <c r="B60" s="4">
        <f>106.6</f>
        <v>106.6</v>
      </c>
      <c r="C60" s="4">
        <f>90.35</f>
        <v>90.35</v>
      </c>
      <c r="D60" s="4">
        <f t="shared" si="15"/>
        <v>16.25</v>
      </c>
      <c r="E60" s="5">
        <f t="shared" si="16"/>
        <v>1.1798561151079137</v>
      </c>
      <c r="F60" s="4">
        <f>106.6</f>
        <v>106.6</v>
      </c>
      <c r="G60" s="4">
        <f>90.35</f>
        <v>90.35</v>
      </c>
      <c r="H60" s="4">
        <f t="shared" si="17"/>
        <v>16.25</v>
      </c>
      <c r="I60" s="5">
        <f t="shared" si="18"/>
        <v>1.1798561151079137</v>
      </c>
      <c r="J60" s="4">
        <f>106.6</f>
        <v>106.6</v>
      </c>
      <c r="K60" s="4">
        <f>90.35</f>
        <v>90.35</v>
      </c>
      <c r="L60" s="4">
        <f t="shared" si="19"/>
        <v>16.25</v>
      </c>
      <c r="M60" s="5">
        <f t="shared" si="20"/>
        <v>1.1798561151079137</v>
      </c>
      <c r="N60" s="4">
        <f>106.6</f>
        <v>106.6</v>
      </c>
      <c r="O60" s="4">
        <f>90.35</f>
        <v>90.35</v>
      </c>
      <c r="P60" s="4">
        <f t="shared" si="21"/>
        <v>16.25</v>
      </c>
      <c r="Q60" s="5">
        <f t="shared" si="22"/>
        <v>1.1798561151079137</v>
      </c>
      <c r="R60" s="4">
        <f>127.4</f>
        <v>127.4</v>
      </c>
      <c r="S60" s="4">
        <f>90.35</f>
        <v>90.35</v>
      </c>
      <c r="T60" s="4">
        <f t="shared" si="23"/>
        <v>37.050000000000011</v>
      </c>
      <c r="U60" s="5">
        <f t="shared" si="24"/>
        <v>1.4100719424460433</v>
      </c>
      <c r="V60" s="4">
        <f t="shared" si="25"/>
        <v>553.79999999999995</v>
      </c>
      <c r="W60" s="4">
        <f t="shared" si="26"/>
        <v>451.75</v>
      </c>
      <c r="X60" s="4">
        <f t="shared" si="27"/>
        <v>102.04999999999995</v>
      </c>
      <c r="Y60" s="5">
        <f t="shared" si="28"/>
        <v>1.2258992805755395</v>
      </c>
    </row>
    <row r="61" spans="1:25" x14ac:dyDescent="0.25">
      <c r="A61" s="2" t="s">
        <v>64</v>
      </c>
      <c r="B61" s="4">
        <f>57.4</f>
        <v>57.4</v>
      </c>
      <c r="C61" s="4">
        <f>48.65</f>
        <v>48.65</v>
      </c>
      <c r="D61" s="4">
        <f t="shared" si="15"/>
        <v>8.75</v>
      </c>
      <c r="E61" s="5">
        <f t="shared" si="16"/>
        <v>1.1798561151079137</v>
      </c>
      <c r="F61" s="4">
        <f>57.4</f>
        <v>57.4</v>
      </c>
      <c r="G61" s="4">
        <f>48.65</f>
        <v>48.65</v>
      </c>
      <c r="H61" s="4">
        <f t="shared" si="17"/>
        <v>8.75</v>
      </c>
      <c r="I61" s="5">
        <f t="shared" si="18"/>
        <v>1.1798561151079137</v>
      </c>
      <c r="J61" s="4">
        <f>57.4</f>
        <v>57.4</v>
      </c>
      <c r="K61" s="4">
        <f>48.65</f>
        <v>48.65</v>
      </c>
      <c r="L61" s="4">
        <f t="shared" si="19"/>
        <v>8.75</v>
      </c>
      <c r="M61" s="5">
        <f t="shared" si="20"/>
        <v>1.1798561151079137</v>
      </c>
      <c r="N61" s="4">
        <f>57.4</f>
        <v>57.4</v>
      </c>
      <c r="O61" s="4">
        <f>48.65</f>
        <v>48.65</v>
      </c>
      <c r="P61" s="4">
        <f t="shared" si="21"/>
        <v>8.75</v>
      </c>
      <c r="Q61" s="5">
        <f t="shared" si="22"/>
        <v>1.1798561151079137</v>
      </c>
      <c r="R61" s="4">
        <f>68.6</f>
        <v>68.599999999999994</v>
      </c>
      <c r="S61" s="4">
        <f>48.65</f>
        <v>48.65</v>
      </c>
      <c r="T61" s="4">
        <f t="shared" si="23"/>
        <v>19.949999999999996</v>
      </c>
      <c r="U61" s="5">
        <f t="shared" si="24"/>
        <v>1.4100719424460431</v>
      </c>
      <c r="V61" s="4">
        <f t="shared" si="25"/>
        <v>298.2</v>
      </c>
      <c r="W61" s="4">
        <f t="shared" si="26"/>
        <v>243.25</v>
      </c>
      <c r="X61" s="4">
        <f t="shared" si="27"/>
        <v>54.949999999999989</v>
      </c>
      <c r="Y61" s="5">
        <f t="shared" si="28"/>
        <v>1.2258992805755395</v>
      </c>
    </row>
    <row r="62" spans="1:25" x14ac:dyDescent="0.25">
      <c r="A62" s="2" t="s">
        <v>65</v>
      </c>
      <c r="B62" s="4">
        <f>0</f>
        <v>0</v>
      </c>
      <c r="C62" s="3"/>
      <c r="D62" s="4">
        <f t="shared" si="15"/>
        <v>0</v>
      </c>
      <c r="E62" s="5" t="str">
        <f t="shared" si="16"/>
        <v/>
      </c>
      <c r="F62" s="4">
        <f>0</f>
        <v>0</v>
      </c>
      <c r="G62" s="3"/>
      <c r="H62" s="4">
        <f t="shared" si="17"/>
        <v>0</v>
      </c>
      <c r="I62" s="5" t="str">
        <f t="shared" si="18"/>
        <v/>
      </c>
      <c r="J62" s="4">
        <f>0</f>
        <v>0</v>
      </c>
      <c r="K62" s="3"/>
      <c r="L62" s="4">
        <f t="shared" si="19"/>
        <v>0</v>
      </c>
      <c r="M62" s="5" t="str">
        <f t="shared" si="20"/>
        <v/>
      </c>
      <c r="N62" s="4">
        <f>0</f>
        <v>0</v>
      </c>
      <c r="O62" s="3"/>
      <c r="P62" s="4">
        <f t="shared" si="21"/>
        <v>0</v>
      </c>
      <c r="Q62" s="5" t="str">
        <f t="shared" si="22"/>
        <v/>
      </c>
      <c r="R62" s="4">
        <f>0</f>
        <v>0</v>
      </c>
      <c r="S62" s="3"/>
      <c r="T62" s="4">
        <f t="shared" si="23"/>
        <v>0</v>
      </c>
      <c r="U62" s="5" t="str">
        <f t="shared" si="24"/>
        <v/>
      </c>
      <c r="V62" s="4">
        <f t="shared" si="25"/>
        <v>0</v>
      </c>
      <c r="W62" s="4">
        <f t="shared" si="26"/>
        <v>0</v>
      </c>
      <c r="X62" s="4">
        <f t="shared" si="27"/>
        <v>0</v>
      </c>
      <c r="Y62" s="5" t="str">
        <f t="shared" si="28"/>
        <v/>
      </c>
    </row>
    <row r="63" spans="1:25" x14ac:dyDescent="0.25">
      <c r="A63" s="2" t="s">
        <v>66</v>
      </c>
      <c r="B63" s="6">
        <f>(((B59)+(B60))+(B61))+(B62)</f>
        <v>164</v>
      </c>
      <c r="C63" s="6">
        <f>(((C59)+(C60))+(C61))+(C62)</f>
        <v>139</v>
      </c>
      <c r="D63" s="6">
        <f t="shared" si="15"/>
        <v>25</v>
      </c>
      <c r="E63" s="7">
        <f t="shared" si="16"/>
        <v>1.1798561151079137</v>
      </c>
      <c r="F63" s="6">
        <f>(((F59)+(F60))+(F61))+(F62)</f>
        <v>164</v>
      </c>
      <c r="G63" s="6">
        <f>(((G59)+(G60))+(G61))+(G62)</f>
        <v>139</v>
      </c>
      <c r="H63" s="6">
        <f t="shared" si="17"/>
        <v>25</v>
      </c>
      <c r="I63" s="7">
        <f t="shared" si="18"/>
        <v>1.1798561151079137</v>
      </c>
      <c r="J63" s="6">
        <f>(((J59)+(J60))+(J61))+(J62)</f>
        <v>164</v>
      </c>
      <c r="K63" s="6">
        <f>(((K59)+(K60))+(K61))+(K62)</f>
        <v>139</v>
      </c>
      <c r="L63" s="6">
        <f t="shared" si="19"/>
        <v>25</v>
      </c>
      <c r="M63" s="7">
        <f t="shared" si="20"/>
        <v>1.1798561151079137</v>
      </c>
      <c r="N63" s="6">
        <f>(((N59)+(N60))+(N61))+(N62)</f>
        <v>164</v>
      </c>
      <c r="O63" s="6">
        <f>(((O59)+(O60))+(O61))+(O62)</f>
        <v>139</v>
      </c>
      <c r="P63" s="6">
        <f t="shared" si="21"/>
        <v>25</v>
      </c>
      <c r="Q63" s="7">
        <f t="shared" si="22"/>
        <v>1.1798561151079137</v>
      </c>
      <c r="R63" s="6">
        <f>(((R59)+(R60))+(R61))+(R62)</f>
        <v>196</v>
      </c>
      <c r="S63" s="6">
        <f>(((S59)+(S60))+(S61))+(S62)</f>
        <v>139</v>
      </c>
      <c r="T63" s="6">
        <f t="shared" si="23"/>
        <v>57</v>
      </c>
      <c r="U63" s="7">
        <f t="shared" si="24"/>
        <v>1.4100719424460431</v>
      </c>
      <c r="V63" s="6">
        <f t="shared" si="25"/>
        <v>852</v>
      </c>
      <c r="W63" s="6">
        <f t="shared" si="26"/>
        <v>695</v>
      </c>
      <c r="X63" s="6">
        <f t="shared" si="27"/>
        <v>157</v>
      </c>
      <c r="Y63" s="7">
        <f t="shared" si="28"/>
        <v>1.2258992805755395</v>
      </c>
    </row>
    <row r="64" spans="1:25" x14ac:dyDescent="0.25">
      <c r="A64" s="2" t="s">
        <v>67</v>
      </c>
      <c r="B64" s="3"/>
      <c r="C64" s="3"/>
      <c r="D64" s="4">
        <f t="shared" si="15"/>
        <v>0</v>
      </c>
      <c r="E64" s="5" t="str">
        <f t="shared" si="16"/>
        <v/>
      </c>
      <c r="F64" s="3"/>
      <c r="G64" s="3"/>
      <c r="H64" s="4">
        <f t="shared" si="17"/>
        <v>0</v>
      </c>
      <c r="I64" s="5" t="str">
        <f t="shared" si="18"/>
        <v/>
      </c>
      <c r="J64" s="3"/>
      <c r="K64" s="3"/>
      <c r="L64" s="4">
        <f t="shared" si="19"/>
        <v>0</v>
      </c>
      <c r="M64" s="5" t="str">
        <f t="shared" si="20"/>
        <v/>
      </c>
      <c r="N64" s="3"/>
      <c r="O64" s="3"/>
      <c r="P64" s="4">
        <f t="shared" si="21"/>
        <v>0</v>
      </c>
      <c r="Q64" s="5" t="str">
        <f t="shared" si="22"/>
        <v/>
      </c>
      <c r="R64" s="3"/>
      <c r="S64" s="3"/>
      <c r="T64" s="4">
        <f t="shared" si="23"/>
        <v>0</v>
      </c>
      <c r="U64" s="5" t="str">
        <f t="shared" si="24"/>
        <v/>
      </c>
      <c r="V64" s="4">
        <f t="shared" si="25"/>
        <v>0</v>
      </c>
      <c r="W64" s="4">
        <f t="shared" si="26"/>
        <v>0</v>
      </c>
      <c r="X64" s="4">
        <f t="shared" si="27"/>
        <v>0</v>
      </c>
      <c r="Y64" s="5" t="str">
        <f t="shared" si="28"/>
        <v/>
      </c>
    </row>
    <row r="65" spans="1:25" x14ac:dyDescent="0.25">
      <c r="A65" s="2" t="s">
        <v>68</v>
      </c>
      <c r="B65" s="4">
        <f>359.76</f>
        <v>359.76</v>
      </c>
      <c r="C65" s="4">
        <f>352.08</f>
        <v>352.08</v>
      </c>
      <c r="D65" s="4">
        <f t="shared" si="15"/>
        <v>7.6800000000000068</v>
      </c>
      <c r="E65" s="5">
        <f t="shared" si="16"/>
        <v>1.021813224267212</v>
      </c>
      <c r="F65" s="4">
        <f>206.02</f>
        <v>206.02</v>
      </c>
      <c r="G65" s="4">
        <f>352.08</f>
        <v>352.08</v>
      </c>
      <c r="H65" s="4">
        <f t="shared" si="17"/>
        <v>-146.05999999999997</v>
      </c>
      <c r="I65" s="5">
        <f t="shared" si="18"/>
        <v>0.58515110202226772</v>
      </c>
      <c r="J65" s="4">
        <f>250.57</f>
        <v>250.57</v>
      </c>
      <c r="K65" s="4">
        <f>352.08</f>
        <v>352.08</v>
      </c>
      <c r="L65" s="4">
        <f t="shared" si="19"/>
        <v>-101.50999999999999</v>
      </c>
      <c r="M65" s="5">
        <f t="shared" si="20"/>
        <v>0.71168484435355606</v>
      </c>
      <c r="N65" s="4">
        <f>319.57</f>
        <v>319.57</v>
      </c>
      <c r="O65" s="4">
        <f>352.08</f>
        <v>352.08</v>
      </c>
      <c r="P65" s="4">
        <f t="shared" si="21"/>
        <v>-32.509999999999991</v>
      </c>
      <c r="Q65" s="5">
        <f t="shared" si="22"/>
        <v>0.90766303112928881</v>
      </c>
      <c r="R65" s="4">
        <f>191.23</f>
        <v>191.23</v>
      </c>
      <c r="S65" s="4">
        <f>352.08</f>
        <v>352.08</v>
      </c>
      <c r="T65" s="4">
        <f t="shared" si="23"/>
        <v>-160.85</v>
      </c>
      <c r="U65" s="5">
        <f t="shared" si="24"/>
        <v>0.54314360372642578</v>
      </c>
      <c r="V65" s="4">
        <f t="shared" si="25"/>
        <v>1327.1499999999999</v>
      </c>
      <c r="W65" s="4">
        <f t="shared" si="26"/>
        <v>1760.3999999999999</v>
      </c>
      <c r="X65" s="4">
        <f t="shared" si="27"/>
        <v>-433.25</v>
      </c>
      <c r="Y65" s="5">
        <f t="shared" si="28"/>
        <v>0.75389116109975007</v>
      </c>
    </row>
    <row r="66" spans="1:25" x14ac:dyDescent="0.25">
      <c r="A66" s="2" t="s">
        <v>69</v>
      </c>
      <c r="B66" s="4">
        <f>193.72</f>
        <v>193.72</v>
      </c>
      <c r="C66" s="4">
        <f>189.58</f>
        <v>189.58</v>
      </c>
      <c r="D66" s="4">
        <f t="shared" si="15"/>
        <v>4.1399999999999864</v>
      </c>
      <c r="E66" s="5">
        <f t="shared" si="16"/>
        <v>1.0218377465977424</v>
      </c>
      <c r="F66" s="4">
        <f>110.94</f>
        <v>110.94</v>
      </c>
      <c r="G66" s="4">
        <f>189.58</f>
        <v>189.58</v>
      </c>
      <c r="H66" s="4">
        <f t="shared" si="17"/>
        <v>-78.640000000000015</v>
      </c>
      <c r="I66" s="5">
        <f t="shared" si="18"/>
        <v>0.58518831100327029</v>
      </c>
      <c r="J66" s="4">
        <f>134.92</f>
        <v>134.91999999999999</v>
      </c>
      <c r="K66" s="4">
        <f>189.58</f>
        <v>189.58</v>
      </c>
      <c r="L66" s="4">
        <f t="shared" si="19"/>
        <v>-54.660000000000025</v>
      </c>
      <c r="M66" s="5">
        <f t="shared" si="20"/>
        <v>0.71167844709357519</v>
      </c>
      <c r="N66" s="4">
        <f>172.07</f>
        <v>172.07</v>
      </c>
      <c r="O66" s="4">
        <f>189.58</f>
        <v>189.58</v>
      </c>
      <c r="P66" s="4">
        <f t="shared" si="21"/>
        <v>-17.510000000000019</v>
      </c>
      <c r="Q66" s="5">
        <f t="shared" si="22"/>
        <v>0.90763793649119096</v>
      </c>
      <c r="R66" s="4">
        <f>102.97</f>
        <v>102.97</v>
      </c>
      <c r="S66" s="4">
        <f>189.58</f>
        <v>189.58</v>
      </c>
      <c r="T66" s="4">
        <f t="shared" si="23"/>
        <v>-86.610000000000014</v>
      </c>
      <c r="U66" s="5">
        <f t="shared" si="24"/>
        <v>0.54314801139360691</v>
      </c>
      <c r="V66" s="4">
        <f t="shared" si="25"/>
        <v>714.61999999999989</v>
      </c>
      <c r="W66" s="4">
        <f t="shared" si="26"/>
        <v>947.90000000000009</v>
      </c>
      <c r="X66" s="4">
        <f t="shared" si="27"/>
        <v>-233.2800000000002</v>
      </c>
      <c r="Y66" s="5">
        <f t="shared" si="28"/>
        <v>0.75389809051587697</v>
      </c>
    </row>
    <row r="67" spans="1:25" x14ac:dyDescent="0.25">
      <c r="A67" s="2" t="s">
        <v>70</v>
      </c>
      <c r="B67" s="4">
        <f>0</f>
        <v>0</v>
      </c>
      <c r="C67" s="3"/>
      <c r="D67" s="4">
        <f t="shared" si="15"/>
        <v>0</v>
      </c>
      <c r="E67" s="5" t="str">
        <f t="shared" si="16"/>
        <v/>
      </c>
      <c r="F67" s="4">
        <f>292.06</f>
        <v>292.06</v>
      </c>
      <c r="G67" s="3"/>
      <c r="H67" s="4">
        <f t="shared" si="17"/>
        <v>292.06</v>
      </c>
      <c r="I67" s="5" t="str">
        <f t="shared" si="18"/>
        <v/>
      </c>
      <c r="J67" s="4">
        <f>0</f>
        <v>0</v>
      </c>
      <c r="K67" s="3"/>
      <c r="L67" s="4">
        <f t="shared" si="19"/>
        <v>0</v>
      </c>
      <c r="M67" s="5" t="str">
        <f t="shared" si="20"/>
        <v/>
      </c>
      <c r="N67" s="4">
        <f>-146</f>
        <v>-146</v>
      </c>
      <c r="O67" s="3"/>
      <c r="P67" s="4">
        <f t="shared" si="21"/>
        <v>-146</v>
      </c>
      <c r="Q67" s="5" t="str">
        <f t="shared" si="22"/>
        <v/>
      </c>
      <c r="R67" s="4">
        <f>146</f>
        <v>146</v>
      </c>
      <c r="S67" s="3"/>
      <c r="T67" s="4">
        <f t="shared" si="23"/>
        <v>146</v>
      </c>
      <c r="U67" s="5" t="str">
        <f t="shared" si="24"/>
        <v/>
      </c>
      <c r="V67" s="4">
        <f t="shared" si="25"/>
        <v>292.06</v>
      </c>
      <c r="W67" s="4">
        <f t="shared" si="26"/>
        <v>0</v>
      </c>
      <c r="X67" s="4">
        <f t="shared" si="27"/>
        <v>292.06</v>
      </c>
      <c r="Y67" s="5" t="str">
        <f t="shared" si="28"/>
        <v/>
      </c>
    </row>
    <row r="68" spans="1:25" x14ac:dyDescent="0.25">
      <c r="A68" s="2" t="s">
        <v>71</v>
      </c>
      <c r="B68" s="6">
        <f>(((B64)+(B65))+(B66))+(B67)</f>
        <v>553.48</v>
      </c>
      <c r="C68" s="6">
        <f>(((C64)+(C65))+(C66))+(C67)</f>
        <v>541.66</v>
      </c>
      <c r="D68" s="6">
        <f t="shared" si="15"/>
        <v>11.82000000000005</v>
      </c>
      <c r="E68" s="7">
        <f t="shared" si="16"/>
        <v>1.0218218070376253</v>
      </c>
      <c r="F68" s="6">
        <f>(((F64)+(F65))+(F66))+(F67)</f>
        <v>609.02</v>
      </c>
      <c r="G68" s="6">
        <f>(((G64)+(G65))+(G66))+(G67)</f>
        <v>541.66</v>
      </c>
      <c r="H68" s="6">
        <f t="shared" si="17"/>
        <v>67.360000000000014</v>
      </c>
      <c r="I68" s="7">
        <f t="shared" si="18"/>
        <v>1.1243584536425064</v>
      </c>
      <c r="J68" s="6">
        <f>(((J64)+(J65))+(J66))+(J67)</f>
        <v>385.49</v>
      </c>
      <c r="K68" s="6">
        <f>(((K64)+(K65))+(K66))+(K67)</f>
        <v>541.66</v>
      </c>
      <c r="L68" s="6">
        <f t="shared" si="19"/>
        <v>-156.16999999999996</v>
      </c>
      <c r="M68" s="7">
        <f t="shared" si="20"/>
        <v>0.71168260532437333</v>
      </c>
      <c r="N68" s="6">
        <f>(((N64)+(N65))+(N66))+(N67)</f>
        <v>345.64</v>
      </c>
      <c r="O68" s="6">
        <f>(((O64)+(O65))+(O66))+(O67)</f>
        <v>541.66</v>
      </c>
      <c r="P68" s="6">
        <f t="shared" si="21"/>
        <v>-196.01999999999998</v>
      </c>
      <c r="Q68" s="7">
        <f t="shared" si="22"/>
        <v>0.63811246907654251</v>
      </c>
      <c r="R68" s="6">
        <f>(((R64)+(R65))+(R66))+(R67)</f>
        <v>440.2</v>
      </c>
      <c r="S68" s="6">
        <f>(((S64)+(S65))+(S66))+(S67)</f>
        <v>541.66</v>
      </c>
      <c r="T68" s="6">
        <f t="shared" si="23"/>
        <v>-101.45999999999998</v>
      </c>
      <c r="U68" s="7">
        <f t="shared" si="24"/>
        <v>0.81268692537754317</v>
      </c>
      <c r="V68" s="6">
        <f t="shared" si="25"/>
        <v>2333.83</v>
      </c>
      <c r="W68" s="6">
        <f t="shared" si="26"/>
        <v>2708.2999999999997</v>
      </c>
      <c r="X68" s="6">
        <f t="shared" si="27"/>
        <v>-374.4699999999998</v>
      </c>
      <c r="Y68" s="7">
        <f t="shared" si="28"/>
        <v>0.86173245209171812</v>
      </c>
    </row>
    <row r="69" spans="1:25" x14ac:dyDescent="0.25">
      <c r="A69" s="2" t="s">
        <v>72</v>
      </c>
      <c r="B69" s="3"/>
      <c r="C69" s="3"/>
      <c r="D69" s="4">
        <f t="shared" si="15"/>
        <v>0</v>
      </c>
      <c r="E69" s="5" t="str">
        <f t="shared" si="16"/>
        <v/>
      </c>
      <c r="F69" s="3"/>
      <c r="G69" s="3"/>
      <c r="H69" s="4">
        <f t="shared" si="17"/>
        <v>0</v>
      </c>
      <c r="I69" s="5" t="str">
        <f t="shared" si="18"/>
        <v/>
      </c>
      <c r="J69" s="3"/>
      <c r="K69" s="3"/>
      <c r="L69" s="4">
        <f t="shared" si="19"/>
        <v>0</v>
      </c>
      <c r="M69" s="5" t="str">
        <f t="shared" si="20"/>
        <v/>
      </c>
      <c r="N69" s="3"/>
      <c r="O69" s="3"/>
      <c r="P69" s="4">
        <f t="shared" si="21"/>
        <v>0</v>
      </c>
      <c r="Q69" s="5" t="str">
        <f t="shared" si="22"/>
        <v/>
      </c>
      <c r="R69" s="3"/>
      <c r="S69" s="3"/>
      <c r="T69" s="4">
        <f t="shared" si="23"/>
        <v>0</v>
      </c>
      <c r="U69" s="5" t="str">
        <f t="shared" si="24"/>
        <v/>
      </c>
      <c r="V69" s="4">
        <f t="shared" si="25"/>
        <v>0</v>
      </c>
      <c r="W69" s="4">
        <f t="shared" si="26"/>
        <v>0</v>
      </c>
      <c r="X69" s="4">
        <f t="shared" si="27"/>
        <v>0</v>
      </c>
      <c r="Y69" s="5" t="str">
        <f t="shared" si="28"/>
        <v/>
      </c>
    </row>
    <row r="70" spans="1:25" x14ac:dyDescent="0.25">
      <c r="A70" s="2" t="s">
        <v>73</v>
      </c>
      <c r="B70" s="4">
        <f>26</f>
        <v>26</v>
      </c>
      <c r="C70" s="4">
        <f>270.83</f>
        <v>270.83</v>
      </c>
      <c r="D70" s="4">
        <f t="shared" si="15"/>
        <v>-244.82999999999998</v>
      </c>
      <c r="E70" s="5">
        <f t="shared" si="16"/>
        <v>9.6001181553003731E-2</v>
      </c>
      <c r="F70" s="4">
        <f>0</f>
        <v>0</v>
      </c>
      <c r="G70" s="4">
        <f>270.83</f>
        <v>270.83</v>
      </c>
      <c r="H70" s="4">
        <f t="shared" si="17"/>
        <v>-270.83</v>
      </c>
      <c r="I70" s="5">
        <f t="shared" si="18"/>
        <v>0</v>
      </c>
      <c r="J70" s="4">
        <f>0</f>
        <v>0</v>
      </c>
      <c r="K70" s="4">
        <f>270.83</f>
        <v>270.83</v>
      </c>
      <c r="L70" s="4">
        <f t="shared" si="19"/>
        <v>-270.83</v>
      </c>
      <c r="M70" s="5">
        <f t="shared" si="20"/>
        <v>0</v>
      </c>
      <c r="N70" s="4">
        <f>0</f>
        <v>0</v>
      </c>
      <c r="O70" s="4">
        <f>270.83</f>
        <v>270.83</v>
      </c>
      <c r="P70" s="4">
        <f t="shared" si="21"/>
        <v>-270.83</v>
      </c>
      <c r="Q70" s="5">
        <f t="shared" si="22"/>
        <v>0</v>
      </c>
      <c r="R70" s="4">
        <f>0</f>
        <v>0</v>
      </c>
      <c r="S70" s="4">
        <f>270.83</f>
        <v>270.83</v>
      </c>
      <c r="T70" s="4">
        <f t="shared" si="23"/>
        <v>-270.83</v>
      </c>
      <c r="U70" s="5">
        <f t="shared" si="24"/>
        <v>0</v>
      </c>
      <c r="V70" s="4">
        <f t="shared" si="25"/>
        <v>26</v>
      </c>
      <c r="W70" s="4">
        <f t="shared" si="26"/>
        <v>1354.1499999999999</v>
      </c>
      <c r="X70" s="4">
        <f t="shared" si="27"/>
        <v>-1328.1499999999999</v>
      </c>
      <c r="Y70" s="5">
        <f t="shared" si="28"/>
        <v>1.9200236310600749E-2</v>
      </c>
    </row>
    <row r="71" spans="1:25" x14ac:dyDescent="0.25">
      <c r="A71" s="2" t="s">
        <v>74</v>
      </c>
      <c r="B71" s="4">
        <f>14</f>
        <v>14</v>
      </c>
      <c r="C71" s="4">
        <f>145.83</f>
        <v>145.83000000000001</v>
      </c>
      <c r="D71" s="4">
        <f t="shared" si="15"/>
        <v>-131.83000000000001</v>
      </c>
      <c r="E71" s="5">
        <f t="shared" si="16"/>
        <v>9.6002194335870525E-2</v>
      </c>
      <c r="F71" s="4">
        <f>0</f>
        <v>0</v>
      </c>
      <c r="G71" s="4">
        <f>145.83</f>
        <v>145.83000000000001</v>
      </c>
      <c r="H71" s="4">
        <f t="shared" si="17"/>
        <v>-145.83000000000001</v>
      </c>
      <c r="I71" s="5">
        <f t="shared" si="18"/>
        <v>0</v>
      </c>
      <c r="J71" s="4">
        <f>0</f>
        <v>0</v>
      </c>
      <c r="K71" s="4">
        <f>145.83</f>
        <v>145.83000000000001</v>
      </c>
      <c r="L71" s="4">
        <f t="shared" si="19"/>
        <v>-145.83000000000001</v>
      </c>
      <c r="M71" s="5">
        <f t="shared" si="20"/>
        <v>0</v>
      </c>
      <c r="N71" s="4">
        <f>0</f>
        <v>0</v>
      </c>
      <c r="O71" s="4">
        <f>145.83</f>
        <v>145.83000000000001</v>
      </c>
      <c r="P71" s="4">
        <f t="shared" si="21"/>
        <v>-145.83000000000001</v>
      </c>
      <c r="Q71" s="5">
        <f t="shared" si="22"/>
        <v>0</v>
      </c>
      <c r="R71" s="4">
        <f>0</f>
        <v>0</v>
      </c>
      <c r="S71" s="4">
        <f>145.83</f>
        <v>145.83000000000001</v>
      </c>
      <c r="T71" s="4">
        <f t="shared" si="23"/>
        <v>-145.83000000000001</v>
      </c>
      <c r="U71" s="5">
        <f t="shared" si="24"/>
        <v>0</v>
      </c>
      <c r="V71" s="4">
        <f t="shared" si="25"/>
        <v>14</v>
      </c>
      <c r="W71" s="4">
        <f t="shared" si="26"/>
        <v>729.15000000000009</v>
      </c>
      <c r="X71" s="4">
        <f t="shared" si="27"/>
        <v>-715.15000000000009</v>
      </c>
      <c r="Y71" s="5">
        <f t="shared" si="28"/>
        <v>1.9200438867174104E-2</v>
      </c>
    </row>
    <row r="72" spans="1:25" x14ac:dyDescent="0.25">
      <c r="A72" s="2" t="s">
        <v>75</v>
      </c>
      <c r="B72" s="4">
        <f>0</f>
        <v>0</v>
      </c>
      <c r="C72" s="3"/>
      <c r="D72" s="4">
        <f t="shared" si="15"/>
        <v>0</v>
      </c>
      <c r="E72" s="5" t="str">
        <f t="shared" si="16"/>
        <v/>
      </c>
      <c r="F72" s="4">
        <f>0</f>
        <v>0</v>
      </c>
      <c r="G72" s="3"/>
      <c r="H72" s="4">
        <f t="shared" si="17"/>
        <v>0</v>
      </c>
      <c r="I72" s="5" t="str">
        <f t="shared" si="18"/>
        <v/>
      </c>
      <c r="J72" s="4">
        <f>0</f>
        <v>0</v>
      </c>
      <c r="K72" s="3"/>
      <c r="L72" s="4">
        <f t="shared" si="19"/>
        <v>0</v>
      </c>
      <c r="M72" s="5" t="str">
        <f t="shared" si="20"/>
        <v/>
      </c>
      <c r="N72" s="4">
        <f>0</f>
        <v>0</v>
      </c>
      <c r="O72" s="3"/>
      <c r="P72" s="4">
        <f t="shared" si="21"/>
        <v>0</v>
      </c>
      <c r="Q72" s="5" t="str">
        <f t="shared" si="22"/>
        <v/>
      </c>
      <c r="R72" s="4">
        <f>0</f>
        <v>0</v>
      </c>
      <c r="S72" s="3"/>
      <c r="T72" s="4">
        <f t="shared" si="23"/>
        <v>0</v>
      </c>
      <c r="U72" s="5" t="str">
        <f t="shared" si="24"/>
        <v/>
      </c>
      <c r="V72" s="4">
        <f t="shared" si="25"/>
        <v>0</v>
      </c>
      <c r="W72" s="4">
        <f t="shared" si="26"/>
        <v>0</v>
      </c>
      <c r="X72" s="4">
        <f t="shared" si="27"/>
        <v>0</v>
      </c>
      <c r="Y72" s="5" t="str">
        <f t="shared" si="28"/>
        <v/>
      </c>
    </row>
    <row r="73" spans="1:25" x14ac:dyDescent="0.25">
      <c r="A73" s="2" t="s">
        <v>76</v>
      </c>
      <c r="B73" s="6">
        <f>(((B69)+(B70))+(B71))+(B72)</f>
        <v>40</v>
      </c>
      <c r="C73" s="6">
        <f>(((C69)+(C70))+(C71))+(C72)</f>
        <v>416.65999999999997</v>
      </c>
      <c r="D73" s="6">
        <f t="shared" si="15"/>
        <v>-376.65999999999997</v>
      </c>
      <c r="E73" s="7">
        <f t="shared" si="16"/>
        <v>9.6001536024576395E-2</v>
      </c>
      <c r="F73" s="6">
        <f>(((F69)+(F70))+(F71))+(F72)</f>
        <v>0</v>
      </c>
      <c r="G73" s="6">
        <f>(((G69)+(G70))+(G71))+(G72)</f>
        <v>416.65999999999997</v>
      </c>
      <c r="H73" s="6">
        <f t="shared" si="17"/>
        <v>-416.65999999999997</v>
      </c>
      <c r="I73" s="7">
        <f t="shared" si="18"/>
        <v>0</v>
      </c>
      <c r="J73" s="6">
        <f>(((J69)+(J70))+(J71))+(J72)</f>
        <v>0</v>
      </c>
      <c r="K73" s="6">
        <f>(((K69)+(K70))+(K71))+(K72)</f>
        <v>416.65999999999997</v>
      </c>
      <c r="L73" s="6">
        <f t="shared" si="19"/>
        <v>-416.65999999999997</v>
      </c>
      <c r="M73" s="7">
        <f t="shared" si="20"/>
        <v>0</v>
      </c>
      <c r="N73" s="6">
        <f>(((N69)+(N70))+(N71))+(N72)</f>
        <v>0</v>
      </c>
      <c r="O73" s="6">
        <f>(((O69)+(O70))+(O71))+(O72)</f>
        <v>416.65999999999997</v>
      </c>
      <c r="P73" s="6">
        <f t="shared" si="21"/>
        <v>-416.65999999999997</v>
      </c>
      <c r="Q73" s="7">
        <f t="shared" si="22"/>
        <v>0</v>
      </c>
      <c r="R73" s="6">
        <f>(((R69)+(R70))+(R71))+(R72)</f>
        <v>0</v>
      </c>
      <c r="S73" s="6">
        <f>(((S69)+(S70))+(S71))+(S72)</f>
        <v>416.65999999999997</v>
      </c>
      <c r="T73" s="6">
        <f t="shared" si="23"/>
        <v>-416.65999999999997</v>
      </c>
      <c r="U73" s="7">
        <f t="shared" si="24"/>
        <v>0</v>
      </c>
      <c r="V73" s="6">
        <f t="shared" si="25"/>
        <v>40</v>
      </c>
      <c r="W73" s="6">
        <f t="shared" si="26"/>
        <v>2083.2999999999997</v>
      </c>
      <c r="X73" s="6">
        <f t="shared" si="27"/>
        <v>-2043.2999999999997</v>
      </c>
      <c r="Y73" s="7">
        <f t="shared" si="28"/>
        <v>1.9200307204915282E-2</v>
      </c>
    </row>
    <row r="74" spans="1:25" x14ac:dyDescent="0.25">
      <c r="A74" s="2" t="s">
        <v>77</v>
      </c>
      <c r="B74" s="3"/>
      <c r="C74" s="3"/>
      <c r="D74" s="4">
        <f t="shared" si="15"/>
        <v>0</v>
      </c>
      <c r="E74" s="5" t="str">
        <f t="shared" si="16"/>
        <v/>
      </c>
      <c r="F74" s="3"/>
      <c r="G74" s="3"/>
      <c r="H74" s="4">
        <f t="shared" si="17"/>
        <v>0</v>
      </c>
      <c r="I74" s="5" t="str">
        <f t="shared" si="18"/>
        <v/>
      </c>
      <c r="J74" s="3"/>
      <c r="K74" s="3"/>
      <c r="L74" s="4">
        <f t="shared" si="19"/>
        <v>0</v>
      </c>
      <c r="M74" s="5" t="str">
        <f t="shared" si="20"/>
        <v/>
      </c>
      <c r="N74" s="3"/>
      <c r="O74" s="3"/>
      <c r="P74" s="4">
        <f t="shared" si="21"/>
        <v>0</v>
      </c>
      <c r="Q74" s="5" t="str">
        <f t="shared" si="22"/>
        <v/>
      </c>
      <c r="R74" s="3"/>
      <c r="S74" s="3"/>
      <c r="T74" s="4">
        <f t="shared" si="23"/>
        <v>0</v>
      </c>
      <c r="U74" s="5" t="str">
        <f t="shared" si="24"/>
        <v/>
      </c>
      <c r="V74" s="4">
        <f t="shared" si="25"/>
        <v>0</v>
      </c>
      <c r="W74" s="4">
        <f t="shared" si="26"/>
        <v>0</v>
      </c>
      <c r="X74" s="4">
        <f t="shared" si="27"/>
        <v>0</v>
      </c>
      <c r="Y74" s="5" t="str">
        <f t="shared" si="28"/>
        <v/>
      </c>
    </row>
    <row r="75" spans="1:25" x14ac:dyDescent="0.25">
      <c r="A75" s="2" t="s">
        <v>78</v>
      </c>
      <c r="B75" s="4">
        <f>103.14</f>
        <v>103.14</v>
      </c>
      <c r="C75" s="4">
        <f>238.33</f>
        <v>238.33</v>
      </c>
      <c r="D75" s="4">
        <f t="shared" si="15"/>
        <v>-135.19</v>
      </c>
      <c r="E75" s="5">
        <f t="shared" si="16"/>
        <v>0.43276129736080221</v>
      </c>
      <c r="F75" s="4">
        <f>521.47</f>
        <v>521.47</v>
      </c>
      <c r="G75" s="4">
        <f>238.33</f>
        <v>238.33</v>
      </c>
      <c r="H75" s="4">
        <f t="shared" si="17"/>
        <v>283.14</v>
      </c>
      <c r="I75" s="5">
        <f t="shared" si="18"/>
        <v>2.1880166156170016</v>
      </c>
      <c r="J75" s="4">
        <f>525.47</f>
        <v>525.47</v>
      </c>
      <c r="K75" s="4">
        <f>238.33</f>
        <v>238.33</v>
      </c>
      <c r="L75" s="4">
        <f t="shared" si="19"/>
        <v>287.14</v>
      </c>
      <c r="M75" s="5">
        <f t="shared" si="20"/>
        <v>2.2048000671338062</v>
      </c>
      <c r="N75" s="4">
        <f>0</f>
        <v>0</v>
      </c>
      <c r="O75" s="4">
        <f>238.33</f>
        <v>238.33</v>
      </c>
      <c r="P75" s="4">
        <f t="shared" si="21"/>
        <v>-238.33</v>
      </c>
      <c r="Q75" s="5">
        <f t="shared" si="22"/>
        <v>0</v>
      </c>
      <c r="R75" s="4">
        <f>184.08</f>
        <v>184.08</v>
      </c>
      <c r="S75" s="4">
        <f>238.33</f>
        <v>238.33</v>
      </c>
      <c r="T75" s="4">
        <f t="shared" si="23"/>
        <v>-54.25</v>
      </c>
      <c r="U75" s="5">
        <f t="shared" si="24"/>
        <v>0.77237443880333989</v>
      </c>
      <c r="V75" s="4">
        <f t="shared" si="25"/>
        <v>1334.1599999999999</v>
      </c>
      <c r="W75" s="4">
        <f t="shared" si="26"/>
        <v>1191.6500000000001</v>
      </c>
      <c r="X75" s="4">
        <f t="shared" si="27"/>
        <v>142.50999999999976</v>
      </c>
      <c r="Y75" s="5">
        <f t="shared" si="28"/>
        <v>1.1195904837829898</v>
      </c>
    </row>
    <row r="76" spans="1:25" x14ac:dyDescent="0.25">
      <c r="A76" s="2" t="s">
        <v>79</v>
      </c>
      <c r="B76" s="4">
        <f>55.54</f>
        <v>55.54</v>
      </c>
      <c r="C76" s="4">
        <f>128.33</f>
        <v>128.33000000000001</v>
      </c>
      <c r="D76" s="4">
        <f t="shared" si="15"/>
        <v>-72.79000000000002</v>
      </c>
      <c r="E76" s="5">
        <f t="shared" si="16"/>
        <v>0.43279046208992439</v>
      </c>
      <c r="F76" s="4">
        <f>280.79</f>
        <v>280.79000000000002</v>
      </c>
      <c r="G76" s="4">
        <f>128.33</f>
        <v>128.33000000000001</v>
      </c>
      <c r="H76" s="4">
        <f t="shared" si="17"/>
        <v>152.46</v>
      </c>
      <c r="I76" s="5">
        <f t="shared" si="18"/>
        <v>2.1880308579443621</v>
      </c>
      <c r="J76" s="4">
        <f>282.95</f>
        <v>282.95</v>
      </c>
      <c r="K76" s="4">
        <f>128.33</f>
        <v>128.33000000000001</v>
      </c>
      <c r="L76" s="4">
        <f t="shared" si="19"/>
        <v>154.61999999999998</v>
      </c>
      <c r="M76" s="5">
        <f t="shared" si="20"/>
        <v>2.2048624639601027</v>
      </c>
      <c r="N76" s="4">
        <f>0</f>
        <v>0</v>
      </c>
      <c r="O76" s="4">
        <f>128.33</f>
        <v>128.33000000000001</v>
      </c>
      <c r="P76" s="4">
        <f t="shared" si="21"/>
        <v>-128.33000000000001</v>
      </c>
      <c r="Q76" s="5">
        <f t="shared" si="22"/>
        <v>0</v>
      </c>
      <c r="R76" s="4">
        <f>99.12</f>
        <v>99.12</v>
      </c>
      <c r="S76" s="4">
        <f>128.33</f>
        <v>128.33000000000001</v>
      </c>
      <c r="T76" s="4">
        <f t="shared" si="23"/>
        <v>-29.210000000000008</v>
      </c>
      <c r="U76" s="5">
        <f t="shared" si="24"/>
        <v>0.77238369827787734</v>
      </c>
      <c r="V76" s="4">
        <f t="shared" si="25"/>
        <v>718.4</v>
      </c>
      <c r="W76" s="4">
        <f t="shared" si="26"/>
        <v>641.65000000000009</v>
      </c>
      <c r="X76" s="4">
        <f t="shared" si="27"/>
        <v>76.749999999999886</v>
      </c>
      <c r="Y76" s="5">
        <f t="shared" si="28"/>
        <v>1.1196134964544531</v>
      </c>
    </row>
    <row r="77" spans="1:25" x14ac:dyDescent="0.25">
      <c r="A77" s="2" t="s">
        <v>80</v>
      </c>
      <c r="B77" s="4">
        <f>0</f>
        <v>0</v>
      </c>
      <c r="C77" s="3"/>
      <c r="D77" s="4">
        <f t="shared" si="15"/>
        <v>0</v>
      </c>
      <c r="E77" s="5" t="str">
        <f t="shared" si="16"/>
        <v/>
      </c>
      <c r="F77" s="4">
        <f>-617</f>
        <v>-617</v>
      </c>
      <c r="G77" s="3"/>
      <c r="H77" s="4">
        <f t="shared" si="17"/>
        <v>-617</v>
      </c>
      <c r="I77" s="5" t="str">
        <f t="shared" si="18"/>
        <v/>
      </c>
      <c r="J77" s="4">
        <f>0</f>
        <v>0</v>
      </c>
      <c r="K77" s="3"/>
      <c r="L77" s="4">
        <f t="shared" si="19"/>
        <v>0</v>
      </c>
      <c r="M77" s="5" t="str">
        <f t="shared" si="20"/>
        <v/>
      </c>
      <c r="N77" s="4">
        <f>0</f>
        <v>0</v>
      </c>
      <c r="O77" s="3"/>
      <c r="P77" s="4">
        <f t="shared" si="21"/>
        <v>0</v>
      </c>
      <c r="Q77" s="5" t="str">
        <f t="shared" si="22"/>
        <v/>
      </c>
      <c r="R77" s="4">
        <f>0</f>
        <v>0</v>
      </c>
      <c r="S77" s="3"/>
      <c r="T77" s="4">
        <f t="shared" si="23"/>
        <v>0</v>
      </c>
      <c r="U77" s="5" t="str">
        <f t="shared" si="24"/>
        <v/>
      </c>
      <c r="V77" s="4">
        <f t="shared" si="25"/>
        <v>-617</v>
      </c>
      <c r="W77" s="4">
        <f t="shared" si="26"/>
        <v>0</v>
      </c>
      <c r="X77" s="4">
        <f t="shared" si="27"/>
        <v>-617</v>
      </c>
      <c r="Y77" s="5" t="str">
        <f t="shared" si="28"/>
        <v/>
      </c>
    </row>
    <row r="78" spans="1:25" x14ac:dyDescent="0.25">
      <c r="A78" s="2" t="s">
        <v>81</v>
      </c>
      <c r="B78" s="6">
        <f>(((B74)+(B75))+(B76))+(B77)</f>
        <v>158.68</v>
      </c>
      <c r="C78" s="6">
        <f>(((C74)+(C75))+(C76))+(C77)</f>
        <v>366.66</v>
      </c>
      <c r="D78" s="6">
        <f t="shared" ref="D78:D109" si="29">(B78)-(C78)</f>
        <v>-207.98000000000002</v>
      </c>
      <c r="E78" s="7">
        <f t="shared" ref="E78:E109" si="30">IF(C78=0,"",(B78)/(C78))</f>
        <v>0.43277150493645339</v>
      </c>
      <c r="F78" s="6">
        <f>(((F74)+(F75))+(F76))+(F77)</f>
        <v>185.26</v>
      </c>
      <c r="G78" s="6">
        <f>(((G74)+(G75))+(G76))+(G77)</f>
        <v>366.66</v>
      </c>
      <c r="H78" s="6">
        <f t="shared" ref="H78:H109" si="31">(F78)-(G78)</f>
        <v>-181.40000000000003</v>
      </c>
      <c r="I78" s="7">
        <f t="shared" ref="I78:I109" si="32">IF(G78=0,"",(F78)/(G78))</f>
        <v>0.50526373206785569</v>
      </c>
      <c r="J78" s="6">
        <f>(((J74)+(J75))+(J76))+(J77)</f>
        <v>808.42000000000007</v>
      </c>
      <c r="K78" s="6">
        <f>(((K74)+(K75))+(K76))+(K77)</f>
        <v>366.66</v>
      </c>
      <c r="L78" s="6">
        <f t="shared" ref="L78:L109" si="33">(J78)-(K78)</f>
        <v>441.76000000000005</v>
      </c>
      <c r="M78" s="7">
        <f t="shared" ref="M78:M109" si="34">IF(K78=0,"",(J78)/(K78))</f>
        <v>2.2048219058528336</v>
      </c>
      <c r="N78" s="6">
        <f>(((N74)+(N75))+(N76))+(N77)</f>
        <v>0</v>
      </c>
      <c r="O78" s="6">
        <f>(((O74)+(O75))+(O76))+(O77)</f>
        <v>366.66</v>
      </c>
      <c r="P78" s="6">
        <f t="shared" ref="P78:P109" si="35">(N78)-(O78)</f>
        <v>-366.66</v>
      </c>
      <c r="Q78" s="7">
        <f t="shared" ref="Q78:Q109" si="36">IF(O78=0,"",(N78)/(O78))</f>
        <v>0</v>
      </c>
      <c r="R78" s="6">
        <f>(((R74)+(R75))+(R76))+(R77)</f>
        <v>283.20000000000005</v>
      </c>
      <c r="S78" s="6">
        <f>(((S74)+(S75))+(S76))+(S77)</f>
        <v>366.66</v>
      </c>
      <c r="T78" s="6">
        <f t="shared" ref="T78:T109" si="37">(R78)-(S78)</f>
        <v>-83.45999999999998</v>
      </c>
      <c r="U78" s="7">
        <f t="shared" ref="U78:U109" si="38">IF(S78=0,"",(R78)/(S78))</f>
        <v>0.77237767959417447</v>
      </c>
      <c r="V78" s="6">
        <f t="shared" ref="V78:V109" si="39">((((B78)+(F78))+(J78))+(N78))+(R78)</f>
        <v>1435.5600000000002</v>
      </c>
      <c r="W78" s="6">
        <f t="shared" ref="W78:W109" si="40">((((C78)+(G78))+(K78))+(O78))+(S78)</f>
        <v>1833.3000000000002</v>
      </c>
      <c r="X78" s="6">
        <f t="shared" ref="X78:X109" si="41">(V78)-(W78)</f>
        <v>-397.74</v>
      </c>
      <c r="Y78" s="7">
        <f t="shared" ref="Y78:Y109" si="42">IF(W78=0,"",(V78)/(W78))</f>
        <v>0.78304696449026345</v>
      </c>
    </row>
    <row r="79" spans="1:25" x14ac:dyDescent="0.25">
      <c r="A79" s="2" t="s">
        <v>82</v>
      </c>
      <c r="B79" s="3"/>
      <c r="C79" s="3"/>
      <c r="D79" s="4">
        <f t="shared" si="29"/>
        <v>0</v>
      </c>
      <c r="E79" s="5" t="str">
        <f t="shared" si="30"/>
        <v/>
      </c>
      <c r="F79" s="3"/>
      <c r="G79" s="3"/>
      <c r="H79" s="4">
        <f t="shared" si="31"/>
        <v>0</v>
      </c>
      <c r="I79" s="5" t="str">
        <f t="shared" si="32"/>
        <v/>
      </c>
      <c r="J79" s="3"/>
      <c r="K79" s="3"/>
      <c r="L79" s="4">
        <f t="shared" si="33"/>
        <v>0</v>
      </c>
      <c r="M79" s="5" t="str">
        <f t="shared" si="34"/>
        <v/>
      </c>
      <c r="N79" s="3"/>
      <c r="O79" s="3"/>
      <c r="P79" s="4">
        <f t="shared" si="35"/>
        <v>0</v>
      </c>
      <c r="Q79" s="5" t="str">
        <f t="shared" si="36"/>
        <v/>
      </c>
      <c r="R79" s="3"/>
      <c r="S79" s="3"/>
      <c r="T79" s="4">
        <f t="shared" si="37"/>
        <v>0</v>
      </c>
      <c r="U79" s="5" t="str">
        <f t="shared" si="38"/>
        <v/>
      </c>
      <c r="V79" s="4">
        <f t="shared" si="39"/>
        <v>0</v>
      </c>
      <c r="W79" s="4">
        <f t="shared" si="40"/>
        <v>0</v>
      </c>
      <c r="X79" s="4">
        <f t="shared" si="41"/>
        <v>0</v>
      </c>
      <c r="Y79" s="5" t="str">
        <f t="shared" si="42"/>
        <v/>
      </c>
    </row>
    <row r="80" spans="1:25" x14ac:dyDescent="0.25">
      <c r="A80" s="2" t="s">
        <v>83</v>
      </c>
      <c r="B80" s="3"/>
      <c r="C80" s="4">
        <f>92.08</f>
        <v>92.08</v>
      </c>
      <c r="D80" s="4">
        <f t="shared" si="29"/>
        <v>-92.08</v>
      </c>
      <c r="E80" s="5">
        <f t="shared" si="30"/>
        <v>0</v>
      </c>
      <c r="F80" s="4">
        <f>220</f>
        <v>220</v>
      </c>
      <c r="G80" s="4">
        <f>92.08</f>
        <v>92.08</v>
      </c>
      <c r="H80" s="4">
        <f t="shared" si="31"/>
        <v>127.92</v>
      </c>
      <c r="I80" s="5">
        <f t="shared" si="32"/>
        <v>2.3892267593397047</v>
      </c>
      <c r="J80" s="3"/>
      <c r="K80" s="4">
        <f>92.08</f>
        <v>92.08</v>
      </c>
      <c r="L80" s="4">
        <f t="shared" si="33"/>
        <v>-92.08</v>
      </c>
      <c r="M80" s="5">
        <f t="shared" si="34"/>
        <v>0</v>
      </c>
      <c r="N80" s="3"/>
      <c r="O80" s="4">
        <f>92.08</f>
        <v>92.08</v>
      </c>
      <c r="P80" s="4">
        <f t="shared" si="35"/>
        <v>-92.08</v>
      </c>
      <c r="Q80" s="5">
        <f t="shared" si="36"/>
        <v>0</v>
      </c>
      <c r="R80" s="3"/>
      <c r="S80" s="4">
        <f>92.08</f>
        <v>92.08</v>
      </c>
      <c r="T80" s="4">
        <f t="shared" si="37"/>
        <v>-92.08</v>
      </c>
      <c r="U80" s="5">
        <f t="shared" si="38"/>
        <v>0</v>
      </c>
      <c r="V80" s="4">
        <f t="shared" si="39"/>
        <v>220</v>
      </c>
      <c r="W80" s="4">
        <f t="shared" si="40"/>
        <v>460.4</v>
      </c>
      <c r="X80" s="4">
        <f t="shared" si="41"/>
        <v>-240.39999999999998</v>
      </c>
      <c r="Y80" s="5">
        <f t="shared" si="42"/>
        <v>0.47784535186794097</v>
      </c>
    </row>
    <row r="81" spans="1:25" x14ac:dyDescent="0.25">
      <c r="A81" s="2" t="s">
        <v>84</v>
      </c>
      <c r="B81" s="3"/>
      <c r="C81" s="4">
        <f>49.58</f>
        <v>49.58</v>
      </c>
      <c r="D81" s="4">
        <f t="shared" si="29"/>
        <v>-49.58</v>
      </c>
      <c r="E81" s="5">
        <f t="shared" si="30"/>
        <v>0</v>
      </c>
      <c r="F81" s="4">
        <f>118.46</f>
        <v>118.46</v>
      </c>
      <c r="G81" s="4">
        <f>49.58</f>
        <v>49.58</v>
      </c>
      <c r="H81" s="4">
        <f t="shared" si="31"/>
        <v>68.88</v>
      </c>
      <c r="I81" s="5">
        <f t="shared" si="32"/>
        <v>2.3892698668818073</v>
      </c>
      <c r="J81" s="3"/>
      <c r="K81" s="4">
        <f>49.58</f>
        <v>49.58</v>
      </c>
      <c r="L81" s="4">
        <f t="shared" si="33"/>
        <v>-49.58</v>
      </c>
      <c r="M81" s="5">
        <f t="shared" si="34"/>
        <v>0</v>
      </c>
      <c r="N81" s="3"/>
      <c r="O81" s="4">
        <f>49.58</f>
        <v>49.58</v>
      </c>
      <c r="P81" s="4">
        <f t="shared" si="35"/>
        <v>-49.58</v>
      </c>
      <c r="Q81" s="5">
        <f t="shared" si="36"/>
        <v>0</v>
      </c>
      <c r="R81" s="3"/>
      <c r="S81" s="4">
        <f>49.58</f>
        <v>49.58</v>
      </c>
      <c r="T81" s="4">
        <f t="shared" si="37"/>
        <v>-49.58</v>
      </c>
      <c r="U81" s="5">
        <f t="shared" si="38"/>
        <v>0</v>
      </c>
      <c r="V81" s="4">
        <f t="shared" si="39"/>
        <v>118.46</v>
      </c>
      <c r="W81" s="4">
        <f t="shared" si="40"/>
        <v>247.89999999999998</v>
      </c>
      <c r="X81" s="4">
        <f t="shared" si="41"/>
        <v>-129.44</v>
      </c>
      <c r="Y81" s="5">
        <f t="shared" si="42"/>
        <v>0.47785397337636143</v>
      </c>
    </row>
    <row r="82" spans="1:25" x14ac:dyDescent="0.25">
      <c r="A82" s="2" t="s">
        <v>85</v>
      </c>
      <c r="B82" s="3"/>
      <c r="C82" s="3"/>
      <c r="D82" s="4">
        <f t="shared" si="29"/>
        <v>0</v>
      </c>
      <c r="E82" s="5" t="str">
        <f t="shared" si="30"/>
        <v/>
      </c>
      <c r="F82" s="4">
        <f>0</f>
        <v>0</v>
      </c>
      <c r="G82" s="3"/>
      <c r="H82" s="4">
        <f t="shared" si="31"/>
        <v>0</v>
      </c>
      <c r="I82" s="5" t="str">
        <f t="shared" si="32"/>
        <v/>
      </c>
      <c r="J82" s="3"/>
      <c r="K82" s="3"/>
      <c r="L82" s="4">
        <f t="shared" si="33"/>
        <v>0</v>
      </c>
      <c r="M82" s="5" t="str">
        <f t="shared" si="34"/>
        <v/>
      </c>
      <c r="N82" s="3"/>
      <c r="O82" s="3"/>
      <c r="P82" s="4">
        <f t="shared" si="35"/>
        <v>0</v>
      </c>
      <c r="Q82" s="5" t="str">
        <f t="shared" si="36"/>
        <v/>
      </c>
      <c r="R82" s="4">
        <f>113.8</f>
        <v>113.8</v>
      </c>
      <c r="S82" s="3"/>
      <c r="T82" s="4">
        <f t="shared" si="37"/>
        <v>113.8</v>
      </c>
      <c r="U82" s="5" t="str">
        <f t="shared" si="38"/>
        <v/>
      </c>
      <c r="V82" s="4">
        <f t="shared" si="39"/>
        <v>113.8</v>
      </c>
      <c r="W82" s="4">
        <f t="shared" si="40"/>
        <v>0</v>
      </c>
      <c r="X82" s="4">
        <f t="shared" si="41"/>
        <v>113.8</v>
      </c>
      <c r="Y82" s="5" t="str">
        <f t="shared" si="42"/>
        <v/>
      </c>
    </row>
    <row r="83" spans="1:25" x14ac:dyDescent="0.25">
      <c r="A83" s="2" t="s">
        <v>86</v>
      </c>
      <c r="B83" s="6">
        <f>(((B79)+(B80))+(B81))+(B82)</f>
        <v>0</v>
      </c>
      <c r="C83" s="6">
        <f>(((C79)+(C80))+(C81))+(C82)</f>
        <v>141.66</v>
      </c>
      <c r="D83" s="6">
        <f t="shared" si="29"/>
        <v>-141.66</v>
      </c>
      <c r="E83" s="7">
        <f t="shared" si="30"/>
        <v>0</v>
      </c>
      <c r="F83" s="6">
        <f>(((F79)+(F80))+(F81))+(F82)</f>
        <v>338.46</v>
      </c>
      <c r="G83" s="6">
        <f>(((G79)+(G80))+(G81))+(G82)</f>
        <v>141.66</v>
      </c>
      <c r="H83" s="6">
        <f t="shared" si="31"/>
        <v>196.79999999999998</v>
      </c>
      <c r="I83" s="7">
        <f t="shared" si="32"/>
        <v>2.3892418466751377</v>
      </c>
      <c r="J83" s="6">
        <f>(((J79)+(J80))+(J81))+(J82)</f>
        <v>0</v>
      </c>
      <c r="K83" s="6">
        <f>(((K79)+(K80))+(K81))+(K82)</f>
        <v>141.66</v>
      </c>
      <c r="L83" s="6">
        <f t="shared" si="33"/>
        <v>-141.66</v>
      </c>
      <c r="M83" s="7">
        <f t="shared" si="34"/>
        <v>0</v>
      </c>
      <c r="N83" s="6">
        <f>(((N79)+(N80))+(N81))+(N82)</f>
        <v>0</v>
      </c>
      <c r="O83" s="6">
        <f>(((O79)+(O80))+(O81))+(O82)</f>
        <v>141.66</v>
      </c>
      <c r="P83" s="6">
        <f t="shared" si="35"/>
        <v>-141.66</v>
      </c>
      <c r="Q83" s="7">
        <f t="shared" si="36"/>
        <v>0</v>
      </c>
      <c r="R83" s="6">
        <f>(((R79)+(R80))+(R81))+(R82)</f>
        <v>113.8</v>
      </c>
      <c r="S83" s="6">
        <f>(((S79)+(S80))+(S81))+(S82)</f>
        <v>141.66</v>
      </c>
      <c r="T83" s="6">
        <f t="shared" si="37"/>
        <v>-27.86</v>
      </c>
      <c r="U83" s="7">
        <f t="shared" si="38"/>
        <v>0.80333192150218835</v>
      </c>
      <c r="V83" s="6">
        <f t="shared" si="39"/>
        <v>452.26</v>
      </c>
      <c r="W83" s="6">
        <f t="shared" si="40"/>
        <v>708.3</v>
      </c>
      <c r="X83" s="6">
        <f t="shared" si="41"/>
        <v>-256.03999999999996</v>
      </c>
      <c r="Y83" s="7">
        <f t="shared" si="42"/>
        <v>0.63851475363546528</v>
      </c>
    </row>
    <row r="84" spans="1:25" x14ac:dyDescent="0.25">
      <c r="A84" s="2" t="s">
        <v>87</v>
      </c>
      <c r="B84" s="3"/>
      <c r="C84" s="3"/>
      <c r="D84" s="4">
        <f t="shared" si="29"/>
        <v>0</v>
      </c>
      <c r="E84" s="5" t="str">
        <f t="shared" si="30"/>
        <v/>
      </c>
      <c r="F84" s="3"/>
      <c r="G84" s="3"/>
      <c r="H84" s="4">
        <f t="shared" si="31"/>
        <v>0</v>
      </c>
      <c r="I84" s="5" t="str">
        <f t="shared" si="32"/>
        <v/>
      </c>
      <c r="J84" s="3"/>
      <c r="K84" s="3"/>
      <c r="L84" s="4">
        <f t="shared" si="33"/>
        <v>0</v>
      </c>
      <c r="M84" s="5" t="str">
        <f t="shared" si="34"/>
        <v/>
      </c>
      <c r="N84" s="3"/>
      <c r="O84" s="3"/>
      <c r="P84" s="4">
        <f t="shared" si="35"/>
        <v>0</v>
      </c>
      <c r="Q84" s="5" t="str">
        <f t="shared" si="36"/>
        <v/>
      </c>
      <c r="R84" s="3"/>
      <c r="S84" s="3"/>
      <c r="T84" s="4">
        <f t="shared" si="37"/>
        <v>0</v>
      </c>
      <c r="U84" s="5" t="str">
        <f t="shared" si="38"/>
        <v/>
      </c>
      <c r="V84" s="4">
        <f t="shared" si="39"/>
        <v>0</v>
      </c>
      <c r="W84" s="4">
        <f t="shared" si="40"/>
        <v>0</v>
      </c>
      <c r="X84" s="4">
        <f t="shared" si="41"/>
        <v>0</v>
      </c>
      <c r="Y84" s="5" t="str">
        <f t="shared" si="42"/>
        <v/>
      </c>
    </row>
    <row r="85" spans="1:25" x14ac:dyDescent="0.25">
      <c r="A85" s="2" t="s">
        <v>88</v>
      </c>
      <c r="B85" s="4">
        <f>1109.88</f>
        <v>1109.8800000000001</v>
      </c>
      <c r="C85" s="4">
        <f>325</f>
        <v>325</v>
      </c>
      <c r="D85" s="4">
        <f t="shared" si="29"/>
        <v>784.88000000000011</v>
      </c>
      <c r="E85" s="5">
        <f t="shared" si="30"/>
        <v>3.4150153846153848</v>
      </c>
      <c r="F85" s="4">
        <f>0</f>
        <v>0</v>
      </c>
      <c r="G85" s="4">
        <f>325</f>
        <v>325</v>
      </c>
      <c r="H85" s="4">
        <f t="shared" si="31"/>
        <v>-325</v>
      </c>
      <c r="I85" s="5">
        <f t="shared" si="32"/>
        <v>0</v>
      </c>
      <c r="J85" s="4">
        <f>0</f>
        <v>0</v>
      </c>
      <c r="K85" s="4">
        <f>325</f>
        <v>325</v>
      </c>
      <c r="L85" s="4">
        <f t="shared" si="33"/>
        <v>-325</v>
      </c>
      <c r="M85" s="5">
        <f t="shared" si="34"/>
        <v>0</v>
      </c>
      <c r="N85" s="4">
        <f>497.25</f>
        <v>497.25</v>
      </c>
      <c r="O85" s="4">
        <f>325</f>
        <v>325</v>
      </c>
      <c r="P85" s="4">
        <f t="shared" si="35"/>
        <v>172.25</v>
      </c>
      <c r="Q85" s="5">
        <f t="shared" si="36"/>
        <v>1.53</v>
      </c>
      <c r="R85" s="4">
        <f>292.5</f>
        <v>292.5</v>
      </c>
      <c r="S85" s="4">
        <f>325</f>
        <v>325</v>
      </c>
      <c r="T85" s="4">
        <f t="shared" si="37"/>
        <v>-32.5</v>
      </c>
      <c r="U85" s="5">
        <f t="shared" si="38"/>
        <v>0.9</v>
      </c>
      <c r="V85" s="4">
        <f t="shared" si="39"/>
        <v>1899.63</v>
      </c>
      <c r="W85" s="4">
        <f t="shared" si="40"/>
        <v>1625</v>
      </c>
      <c r="X85" s="4">
        <f t="shared" si="41"/>
        <v>274.63000000000011</v>
      </c>
      <c r="Y85" s="5">
        <f t="shared" si="42"/>
        <v>1.169003076923077</v>
      </c>
    </row>
    <row r="86" spans="1:25" x14ac:dyDescent="0.25">
      <c r="A86" s="2" t="s">
        <v>89</v>
      </c>
      <c r="B86" s="4">
        <f>597.62</f>
        <v>597.62</v>
      </c>
      <c r="C86" s="4">
        <f>175</f>
        <v>175</v>
      </c>
      <c r="D86" s="4">
        <f t="shared" si="29"/>
        <v>422.62</v>
      </c>
      <c r="E86" s="5">
        <f t="shared" si="30"/>
        <v>3.4149714285714285</v>
      </c>
      <c r="F86" s="4">
        <f>0</f>
        <v>0</v>
      </c>
      <c r="G86" s="4">
        <f>175</f>
        <v>175</v>
      </c>
      <c r="H86" s="4">
        <f t="shared" si="31"/>
        <v>-175</v>
      </c>
      <c r="I86" s="5">
        <f t="shared" si="32"/>
        <v>0</v>
      </c>
      <c r="J86" s="4">
        <f>0</f>
        <v>0</v>
      </c>
      <c r="K86" s="4">
        <f>175</f>
        <v>175</v>
      </c>
      <c r="L86" s="4">
        <f t="shared" si="33"/>
        <v>-175</v>
      </c>
      <c r="M86" s="5">
        <f t="shared" si="34"/>
        <v>0</v>
      </c>
      <c r="N86" s="4">
        <f>267.75</f>
        <v>267.75</v>
      </c>
      <c r="O86" s="4">
        <f>175</f>
        <v>175</v>
      </c>
      <c r="P86" s="4">
        <f t="shared" si="35"/>
        <v>92.75</v>
      </c>
      <c r="Q86" s="5">
        <f t="shared" si="36"/>
        <v>1.53</v>
      </c>
      <c r="R86" s="4">
        <f>157.5</f>
        <v>157.5</v>
      </c>
      <c r="S86" s="4">
        <f>175</f>
        <v>175</v>
      </c>
      <c r="T86" s="4">
        <f t="shared" si="37"/>
        <v>-17.5</v>
      </c>
      <c r="U86" s="5">
        <f t="shared" si="38"/>
        <v>0.9</v>
      </c>
      <c r="V86" s="4">
        <f t="shared" si="39"/>
        <v>1022.87</v>
      </c>
      <c r="W86" s="4">
        <f t="shared" si="40"/>
        <v>875</v>
      </c>
      <c r="X86" s="4">
        <f t="shared" si="41"/>
        <v>147.87</v>
      </c>
      <c r="Y86" s="5">
        <f t="shared" si="42"/>
        <v>1.1689942857142857</v>
      </c>
    </row>
    <row r="87" spans="1:25" x14ac:dyDescent="0.25">
      <c r="A87" s="2" t="s">
        <v>90</v>
      </c>
      <c r="B87" s="4">
        <f>0</f>
        <v>0</v>
      </c>
      <c r="C87" s="3"/>
      <c r="D87" s="4">
        <f t="shared" si="29"/>
        <v>0</v>
      </c>
      <c r="E87" s="5" t="str">
        <f t="shared" si="30"/>
        <v/>
      </c>
      <c r="F87" s="4">
        <f>0</f>
        <v>0</v>
      </c>
      <c r="G87" s="3"/>
      <c r="H87" s="4">
        <f t="shared" si="31"/>
        <v>0</v>
      </c>
      <c r="I87" s="5" t="str">
        <f t="shared" si="32"/>
        <v/>
      </c>
      <c r="J87" s="4">
        <f>0</f>
        <v>0</v>
      </c>
      <c r="K87" s="3"/>
      <c r="L87" s="4">
        <f t="shared" si="33"/>
        <v>0</v>
      </c>
      <c r="M87" s="5" t="str">
        <f t="shared" si="34"/>
        <v/>
      </c>
      <c r="N87" s="4">
        <f>0</f>
        <v>0</v>
      </c>
      <c r="O87" s="3"/>
      <c r="P87" s="4">
        <f t="shared" si="35"/>
        <v>0</v>
      </c>
      <c r="Q87" s="5" t="str">
        <f t="shared" si="36"/>
        <v/>
      </c>
      <c r="R87" s="4">
        <f>0</f>
        <v>0</v>
      </c>
      <c r="S87" s="3"/>
      <c r="T87" s="4">
        <f t="shared" si="37"/>
        <v>0</v>
      </c>
      <c r="U87" s="5" t="str">
        <f t="shared" si="38"/>
        <v/>
      </c>
      <c r="V87" s="4">
        <f t="shared" si="39"/>
        <v>0</v>
      </c>
      <c r="W87" s="4">
        <f t="shared" si="40"/>
        <v>0</v>
      </c>
      <c r="X87" s="4">
        <f t="shared" si="41"/>
        <v>0</v>
      </c>
      <c r="Y87" s="5" t="str">
        <f t="shared" si="42"/>
        <v/>
      </c>
    </row>
    <row r="88" spans="1:25" x14ac:dyDescent="0.25">
      <c r="A88" s="2" t="s">
        <v>91</v>
      </c>
      <c r="B88" s="6">
        <f>(((B84)+(B85))+(B86))+(B87)</f>
        <v>1707.5</v>
      </c>
      <c r="C88" s="6">
        <f>(((C84)+(C85))+(C86))+(C87)</f>
        <v>500</v>
      </c>
      <c r="D88" s="6">
        <f t="shared" si="29"/>
        <v>1207.5</v>
      </c>
      <c r="E88" s="7">
        <f t="shared" si="30"/>
        <v>3.415</v>
      </c>
      <c r="F88" s="6">
        <f>(((F84)+(F85))+(F86))+(F87)</f>
        <v>0</v>
      </c>
      <c r="G88" s="6">
        <f>(((G84)+(G85))+(G86))+(G87)</f>
        <v>500</v>
      </c>
      <c r="H88" s="6">
        <f t="shared" si="31"/>
        <v>-500</v>
      </c>
      <c r="I88" s="7">
        <f t="shared" si="32"/>
        <v>0</v>
      </c>
      <c r="J88" s="6">
        <f>(((J84)+(J85))+(J86))+(J87)</f>
        <v>0</v>
      </c>
      <c r="K88" s="6">
        <f>(((K84)+(K85))+(K86))+(K87)</f>
        <v>500</v>
      </c>
      <c r="L88" s="6">
        <f t="shared" si="33"/>
        <v>-500</v>
      </c>
      <c r="M88" s="7">
        <f t="shared" si="34"/>
        <v>0</v>
      </c>
      <c r="N88" s="6">
        <f>(((N84)+(N85))+(N86))+(N87)</f>
        <v>765</v>
      </c>
      <c r="O88" s="6">
        <f>(((O84)+(O85))+(O86))+(O87)</f>
        <v>500</v>
      </c>
      <c r="P88" s="6">
        <f t="shared" si="35"/>
        <v>265</v>
      </c>
      <c r="Q88" s="7">
        <f t="shared" si="36"/>
        <v>1.53</v>
      </c>
      <c r="R88" s="6">
        <f>(((R84)+(R85))+(R86))+(R87)</f>
        <v>450</v>
      </c>
      <c r="S88" s="6">
        <f>(((S84)+(S85))+(S86))+(S87)</f>
        <v>500</v>
      </c>
      <c r="T88" s="6">
        <f t="shared" si="37"/>
        <v>-50</v>
      </c>
      <c r="U88" s="7">
        <f t="shared" si="38"/>
        <v>0.9</v>
      </c>
      <c r="V88" s="6">
        <f t="shared" si="39"/>
        <v>2922.5</v>
      </c>
      <c r="W88" s="6">
        <f t="shared" si="40"/>
        <v>2500</v>
      </c>
      <c r="X88" s="6">
        <f t="shared" si="41"/>
        <v>422.5</v>
      </c>
      <c r="Y88" s="7">
        <f t="shared" si="42"/>
        <v>1.169</v>
      </c>
    </row>
    <row r="89" spans="1:25" x14ac:dyDescent="0.25">
      <c r="A89" s="2" t="s">
        <v>92</v>
      </c>
      <c r="B89" s="3"/>
      <c r="C89" s="3"/>
      <c r="D89" s="4">
        <f t="shared" si="29"/>
        <v>0</v>
      </c>
      <c r="E89" s="5" t="str">
        <f t="shared" si="30"/>
        <v/>
      </c>
      <c r="F89" s="3"/>
      <c r="G89" s="3"/>
      <c r="H89" s="4">
        <f t="shared" si="31"/>
        <v>0</v>
      </c>
      <c r="I89" s="5" t="str">
        <f t="shared" si="32"/>
        <v/>
      </c>
      <c r="J89" s="3"/>
      <c r="K89" s="3"/>
      <c r="L89" s="4">
        <f t="shared" si="33"/>
        <v>0</v>
      </c>
      <c r="M89" s="5" t="str">
        <f t="shared" si="34"/>
        <v/>
      </c>
      <c r="N89" s="3"/>
      <c r="O89" s="3"/>
      <c r="P89" s="4">
        <f t="shared" si="35"/>
        <v>0</v>
      </c>
      <c r="Q89" s="5" t="str">
        <f t="shared" si="36"/>
        <v/>
      </c>
      <c r="R89" s="3"/>
      <c r="S89" s="3"/>
      <c r="T89" s="4">
        <f t="shared" si="37"/>
        <v>0</v>
      </c>
      <c r="U89" s="5" t="str">
        <f t="shared" si="38"/>
        <v/>
      </c>
      <c r="V89" s="4">
        <f t="shared" si="39"/>
        <v>0</v>
      </c>
      <c r="W89" s="4">
        <f t="shared" si="40"/>
        <v>0</v>
      </c>
      <c r="X89" s="4">
        <f t="shared" si="41"/>
        <v>0</v>
      </c>
      <c r="Y89" s="5" t="str">
        <f t="shared" si="42"/>
        <v/>
      </c>
    </row>
    <row r="90" spans="1:25" x14ac:dyDescent="0.25">
      <c r="A90" s="2" t="s">
        <v>93</v>
      </c>
      <c r="B90" s="3"/>
      <c r="C90" s="4">
        <f>270.83</f>
        <v>270.83</v>
      </c>
      <c r="D90" s="4">
        <f t="shared" si="29"/>
        <v>-270.83</v>
      </c>
      <c r="E90" s="5">
        <f t="shared" si="30"/>
        <v>0</v>
      </c>
      <c r="F90" s="3"/>
      <c r="G90" s="4">
        <f>270.83</f>
        <v>270.83</v>
      </c>
      <c r="H90" s="4">
        <f t="shared" si="31"/>
        <v>-270.83</v>
      </c>
      <c r="I90" s="5">
        <f t="shared" si="32"/>
        <v>0</v>
      </c>
      <c r="J90" s="3"/>
      <c r="K90" s="4">
        <f>270.83</f>
        <v>270.83</v>
      </c>
      <c r="L90" s="4">
        <f t="shared" si="33"/>
        <v>-270.83</v>
      </c>
      <c r="M90" s="5">
        <f t="shared" si="34"/>
        <v>0</v>
      </c>
      <c r="N90" s="3"/>
      <c r="O90" s="4">
        <f>270.83</f>
        <v>270.83</v>
      </c>
      <c r="P90" s="4">
        <f t="shared" si="35"/>
        <v>-270.83</v>
      </c>
      <c r="Q90" s="5">
        <f t="shared" si="36"/>
        <v>0</v>
      </c>
      <c r="R90" s="3"/>
      <c r="S90" s="4">
        <f>270.83</f>
        <v>270.83</v>
      </c>
      <c r="T90" s="4">
        <f t="shared" si="37"/>
        <v>-270.83</v>
      </c>
      <c r="U90" s="5">
        <f t="shared" si="38"/>
        <v>0</v>
      </c>
      <c r="V90" s="4">
        <f t="shared" si="39"/>
        <v>0</v>
      </c>
      <c r="W90" s="4">
        <f t="shared" si="40"/>
        <v>1354.1499999999999</v>
      </c>
      <c r="X90" s="4">
        <f t="shared" si="41"/>
        <v>-1354.1499999999999</v>
      </c>
      <c r="Y90" s="5">
        <f t="shared" si="42"/>
        <v>0</v>
      </c>
    </row>
    <row r="91" spans="1:25" x14ac:dyDescent="0.25">
      <c r="A91" s="2" t="s">
        <v>94</v>
      </c>
      <c r="B91" s="3"/>
      <c r="C91" s="4">
        <f>145.83</f>
        <v>145.83000000000001</v>
      </c>
      <c r="D91" s="4">
        <f t="shared" si="29"/>
        <v>-145.83000000000001</v>
      </c>
      <c r="E91" s="5">
        <f t="shared" si="30"/>
        <v>0</v>
      </c>
      <c r="F91" s="3"/>
      <c r="G91" s="4">
        <f>145.83</f>
        <v>145.83000000000001</v>
      </c>
      <c r="H91" s="4">
        <f t="shared" si="31"/>
        <v>-145.83000000000001</v>
      </c>
      <c r="I91" s="5">
        <f t="shared" si="32"/>
        <v>0</v>
      </c>
      <c r="J91" s="3"/>
      <c r="K91" s="4">
        <f>145.83</f>
        <v>145.83000000000001</v>
      </c>
      <c r="L91" s="4">
        <f t="shared" si="33"/>
        <v>-145.83000000000001</v>
      </c>
      <c r="M91" s="5">
        <f t="shared" si="34"/>
        <v>0</v>
      </c>
      <c r="N91" s="3"/>
      <c r="O91" s="4">
        <f>145.83</f>
        <v>145.83000000000001</v>
      </c>
      <c r="P91" s="4">
        <f t="shared" si="35"/>
        <v>-145.83000000000001</v>
      </c>
      <c r="Q91" s="5">
        <f t="shared" si="36"/>
        <v>0</v>
      </c>
      <c r="R91" s="3"/>
      <c r="S91" s="4">
        <f>145.83</f>
        <v>145.83000000000001</v>
      </c>
      <c r="T91" s="4">
        <f t="shared" si="37"/>
        <v>-145.83000000000001</v>
      </c>
      <c r="U91" s="5">
        <f t="shared" si="38"/>
        <v>0</v>
      </c>
      <c r="V91" s="4">
        <f t="shared" si="39"/>
        <v>0</v>
      </c>
      <c r="W91" s="4">
        <f t="shared" si="40"/>
        <v>729.15000000000009</v>
      </c>
      <c r="X91" s="4">
        <f t="shared" si="41"/>
        <v>-729.15000000000009</v>
      </c>
      <c r="Y91" s="5">
        <f t="shared" si="42"/>
        <v>0</v>
      </c>
    </row>
    <row r="92" spans="1:25" x14ac:dyDescent="0.25">
      <c r="A92" s="2" t="s">
        <v>95</v>
      </c>
      <c r="B92" s="6">
        <f>((B89)+(B90))+(B91)</f>
        <v>0</v>
      </c>
      <c r="C92" s="6">
        <f>((C89)+(C90))+(C91)</f>
        <v>416.65999999999997</v>
      </c>
      <c r="D92" s="6">
        <f t="shared" si="29"/>
        <v>-416.65999999999997</v>
      </c>
      <c r="E92" s="7">
        <f t="shared" si="30"/>
        <v>0</v>
      </c>
      <c r="F92" s="6">
        <f>((F89)+(F90))+(F91)</f>
        <v>0</v>
      </c>
      <c r="G92" s="6">
        <f>((G89)+(G90))+(G91)</f>
        <v>416.65999999999997</v>
      </c>
      <c r="H92" s="6">
        <f t="shared" si="31"/>
        <v>-416.65999999999997</v>
      </c>
      <c r="I92" s="7">
        <f t="shared" si="32"/>
        <v>0</v>
      </c>
      <c r="J92" s="6">
        <f>((J89)+(J90))+(J91)</f>
        <v>0</v>
      </c>
      <c r="K92" s="6">
        <f>((K89)+(K90))+(K91)</f>
        <v>416.65999999999997</v>
      </c>
      <c r="L92" s="6">
        <f t="shared" si="33"/>
        <v>-416.65999999999997</v>
      </c>
      <c r="M92" s="7">
        <f t="shared" si="34"/>
        <v>0</v>
      </c>
      <c r="N92" s="6">
        <f>((N89)+(N90))+(N91)</f>
        <v>0</v>
      </c>
      <c r="O92" s="6">
        <f>((O89)+(O90))+(O91)</f>
        <v>416.65999999999997</v>
      </c>
      <c r="P92" s="6">
        <f t="shared" si="35"/>
        <v>-416.65999999999997</v>
      </c>
      <c r="Q92" s="7">
        <f t="shared" si="36"/>
        <v>0</v>
      </c>
      <c r="R92" s="6">
        <f>((R89)+(R90))+(R91)</f>
        <v>0</v>
      </c>
      <c r="S92" s="6">
        <f>((S89)+(S90))+(S91)</f>
        <v>416.65999999999997</v>
      </c>
      <c r="T92" s="6">
        <f t="shared" si="37"/>
        <v>-416.65999999999997</v>
      </c>
      <c r="U92" s="7">
        <f t="shared" si="38"/>
        <v>0</v>
      </c>
      <c r="V92" s="6">
        <f t="shared" si="39"/>
        <v>0</v>
      </c>
      <c r="W92" s="6">
        <f t="shared" si="40"/>
        <v>2083.2999999999997</v>
      </c>
      <c r="X92" s="6">
        <f t="shared" si="41"/>
        <v>-2083.2999999999997</v>
      </c>
      <c r="Y92" s="7">
        <f t="shared" si="42"/>
        <v>0</v>
      </c>
    </row>
    <row r="93" spans="1:25" x14ac:dyDescent="0.25">
      <c r="A93" s="2" t="s">
        <v>96</v>
      </c>
      <c r="B93" s="3"/>
      <c r="C93" s="3"/>
      <c r="D93" s="4">
        <f t="shared" si="29"/>
        <v>0</v>
      </c>
      <c r="E93" s="5" t="str">
        <f t="shared" si="30"/>
        <v/>
      </c>
      <c r="F93" s="3"/>
      <c r="G93" s="3"/>
      <c r="H93" s="4">
        <f t="shared" si="31"/>
        <v>0</v>
      </c>
      <c r="I93" s="5" t="str">
        <f t="shared" si="32"/>
        <v/>
      </c>
      <c r="J93" s="3"/>
      <c r="K93" s="3"/>
      <c r="L93" s="4">
        <f t="shared" si="33"/>
        <v>0</v>
      </c>
      <c r="M93" s="5" t="str">
        <f t="shared" si="34"/>
        <v/>
      </c>
      <c r="N93" s="3"/>
      <c r="O93" s="3"/>
      <c r="P93" s="4">
        <f t="shared" si="35"/>
        <v>0</v>
      </c>
      <c r="Q93" s="5" t="str">
        <f t="shared" si="36"/>
        <v/>
      </c>
      <c r="R93" s="3"/>
      <c r="S93" s="3"/>
      <c r="T93" s="4">
        <f t="shared" si="37"/>
        <v>0</v>
      </c>
      <c r="U93" s="5" t="str">
        <f t="shared" si="38"/>
        <v/>
      </c>
      <c r="V93" s="4">
        <f t="shared" si="39"/>
        <v>0</v>
      </c>
      <c r="W93" s="4">
        <f t="shared" si="40"/>
        <v>0</v>
      </c>
      <c r="X93" s="4">
        <f t="shared" si="41"/>
        <v>0</v>
      </c>
      <c r="Y93" s="5" t="str">
        <f t="shared" si="42"/>
        <v/>
      </c>
    </row>
    <row r="94" spans="1:25" x14ac:dyDescent="0.25">
      <c r="A94" s="2" t="s">
        <v>97</v>
      </c>
      <c r="B94" s="3"/>
      <c r="C94" s="4">
        <f>1083.33</f>
        <v>1083.33</v>
      </c>
      <c r="D94" s="4">
        <f t="shared" si="29"/>
        <v>-1083.33</v>
      </c>
      <c r="E94" s="5">
        <f t="shared" si="30"/>
        <v>0</v>
      </c>
      <c r="F94" s="3"/>
      <c r="G94" s="4">
        <f>1083.33</f>
        <v>1083.33</v>
      </c>
      <c r="H94" s="4">
        <f t="shared" si="31"/>
        <v>-1083.33</v>
      </c>
      <c r="I94" s="5">
        <f t="shared" si="32"/>
        <v>0</v>
      </c>
      <c r="J94" s="4">
        <f>1334.78</f>
        <v>1334.78</v>
      </c>
      <c r="K94" s="4">
        <f>1083.33</f>
        <v>1083.33</v>
      </c>
      <c r="L94" s="4">
        <f t="shared" si="33"/>
        <v>251.45000000000005</v>
      </c>
      <c r="M94" s="5">
        <f t="shared" si="34"/>
        <v>1.2321084064874046</v>
      </c>
      <c r="N94" s="4">
        <f>2622.11</f>
        <v>2622.11</v>
      </c>
      <c r="O94" s="4">
        <f>1083.33</f>
        <v>1083.33</v>
      </c>
      <c r="P94" s="4">
        <f t="shared" si="35"/>
        <v>1538.7800000000002</v>
      </c>
      <c r="Q94" s="5">
        <f t="shared" si="36"/>
        <v>2.4204166782051639</v>
      </c>
      <c r="R94" s="4">
        <f>1489.1</f>
        <v>1489.1</v>
      </c>
      <c r="S94" s="4">
        <f>1083.33</f>
        <v>1083.33</v>
      </c>
      <c r="T94" s="4">
        <f t="shared" si="37"/>
        <v>405.77</v>
      </c>
      <c r="U94" s="5">
        <f t="shared" si="38"/>
        <v>1.3745580755633093</v>
      </c>
      <c r="V94" s="4">
        <f t="shared" si="39"/>
        <v>5445.99</v>
      </c>
      <c r="W94" s="4">
        <f t="shared" si="40"/>
        <v>5416.65</v>
      </c>
      <c r="X94" s="4">
        <f t="shared" si="41"/>
        <v>29.340000000000146</v>
      </c>
      <c r="Y94" s="5">
        <f t="shared" si="42"/>
        <v>1.0054166320511755</v>
      </c>
    </row>
    <row r="95" spans="1:25" x14ac:dyDescent="0.25">
      <c r="A95" s="2" t="s">
        <v>98</v>
      </c>
      <c r="B95" s="3"/>
      <c r="C95" s="4">
        <f>583.33</f>
        <v>583.33000000000004</v>
      </c>
      <c r="D95" s="4">
        <f t="shared" si="29"/>
        <v>-583.33000000000004</v>
      </c>
      <c r="E95" s="5">
        <f t="shared" si="30"/>
        <v>0</v>
      </c>
      <c r="F95" s="3"/>
      <c r="G95" s="4">
        <f>583.33</f>
        <v>583.33000000000004</v>
      </c>
      <c r="H95" s="4">
        <f t="shared" si="31"/>
        <v>-583.33000000000004</v>
      </c>
      <c r="I95" s="5">
        <f t="shared" si="32"/>
        <v>0</v>
      </c>
      <c r="J95" s="4">
        <f>718.72</f>
        <v>718.72</v>
      </c>
      <c r="K95" s="4">
        <f>583.33</f>
        <v>583.33000000000004</v>
      </c>
      <c r="L95" s="4">
        <f t="shared" si="33"/>
        <v>135.38999999999999</v>
      </c>
      <c r="M95" s="5">
        <f t="shared" si="34"/>
        <v>1.2320984691341093</v>
      </c>
      <c r="N95" s="4">
        <f>1411.91</f>
        <v>1411.91</v>
      </c>
      <c r="O95" s="4">
        <f>583.33</f>
        <v>583.33000000000004</v>
      </c>
      <c r="P95" s="4">
        <f t="shared" si="35"/>
        <v>828.58</v>
      </c>
      <c r="Q95" s="5">
        <f t="shared" si="36"/>
        <v>2.4204309738912793</v>
      </c>
      <c r="R95" s="4">
        <f>801.82</f>
        <v>801.82</v>
      </c>
      <c r="S95" s="4">
        <f>583.33</f>
        <v>583.33000000000004</v>
      </c>
      <c r="T95" s="4">
        <f t="shared" si="37"/>
        <v>218.49</v>
      </c>
      <c r="U95" s="5">
        <f t="shared" si="38"/>
        <v>1.3745564260367202</v>
      </c>
      <c r="V95" s="4">
        <f t="shared" si="39"/>
        <v>2932.4500000000003</v>
      </c>
      <c r="W95" s="4">
        <f t="shared" si="40"/>
        <v>2916.65</v>
      </c>
      <c r="X95" s="4">
        <f t="shared" si="41"/>
        <v>15.800000000000182</v>
      </c>
      <c r="Y95" s="5">
        <f t="shared" si="42"/>
        <v>1.0054171738124218</v>
      </c>
    </row>
    <row r="96" spans="1:25" x14ac:dyDescent="0.25">
      <c r="A96" s="2" t="s">
        <v>99</v>
      </c>
      <c r="B96" s="3"/>
      <c r="C96" s="3"/>
      <c r="D96" s="4">
        <f t="shared" si="29"/>
        <v>0</v>
      </c>
      <c r="E96" s="5" t="str">
        <f t="shared" si="30"/>
        <v/>
      </c>
      <c r="F96" s="3"/>
      <c r="G96" s="3"/>
      <c r="H96" s="4">
        <f t="shared" si="31"/>
        <v>0</v>
      </c>
      <c r="I96" s="5" t="str">
        <f t="shared" si="32"/>
        <v/>
      </c>
      <c r="J96" s="4">
        <f>0</f>
        <v>0</v>
      </c>
      <c r="K96" s="3"/>
      <c r="L96" s="4">
        <f t="shared" si="33"/>
        <v>0</v>
      </c>
      <c r="M96" s="5" t="str">
        <f t="shared" si="34"/>
        <v/>
      </c>
      <c r="N96" s="4">
        <f>0</f>
        <v>0</v>
      </c>
      <c r="O96" s="3"/>
      <c r="P96" s="4">
        <f t="shared" si="35"/>
        <v>0</v>
      </c>
      <c r="Q96" s="5" t="str">
        <f t="shared" si="36"/>
        <v/>
      </c>
      <c r="R96" s="4">
        <f>0</f>
        <v>0</v>
      </c>
      <c r="S96" s="3"/>
      <c r="T96" s="4">
        <f t="shared" si="37"/>
        <v>0</v>
      </c>
      <c r="U96" s="5" t="str">
        <f t="shared" si="38"/>
        <v/>
      </c>
      <c r="V96" s="4">
        <f t="shared" si="39"/>
        <v>0</v>
      </c>
      <c r="W96" s="4">
        <f t="shared" si="40"/>
        <v>0</v>
      </c>
      <c r="X96" s="4">
        <f t="shared" si="41"/>
        <v>0</v>
      </c>
      <c r="Y96" s="5" t="str">
        <f t="shared" si="42"/>
        <v/>
      </c>
    </row>
    <row r="97" spans="1:25" x14ac:dyDescent="0.25">
      <c r="A97" s="2" t="s">
        <v>100</v>
      </c>
      <c r="B97" s="6">
        <f>(((B93)+(B94))+(B95))+(B96)</f>
        <v>0</v>
      </c>
      <c r="C97" s="6">
        <f>(((C93)+(C94))+(C95))+(C96)</f>
        <v>1666.6599999999999</v>
      </c>
      <c r="D97" s="6">
        <f t="shared" si="29"/>
        <v>-1666.6599999999999</v>
      </c>
      <c r="E97" s="7">
        <f t="shared" si="30"/>
        <v>0</v>
      </c>
      <c r="F97" s="6">
        <f>(((F93)+(F94))+(F95))+(F96)</f>
        <v>0</v>
      </c>
      <c r="G97" s="6">
        <f>(((G93)+(G94))+(G95))+(G96)</f>
        <v>1666.6599999999999</v>
      </c>
      <c r="H97" s="6">
        <f t="shared" si="31"/>
        <v>-1666.6599999999999</v>
      </c>
      <c r="I97" s="7">
        <f t="shared" si="32"/>
        <v>0</v>
      </c>
      <c r="J97" s="6">
        <f>(((J93)+(J94))+(J95))+(J96)</f>
        <v>2053.5</v>
      </c>
      <c r="K97" s="6">
        <f>(((K93)+(K94))+(K95))+(K96)</f>
        <v>1666.6599999999999</v>
      </c>
      <c r="L97" s="6">
        <f t="shared" si="33"/>
        <v>386.84000000000015</v>
      </c>
      <c r="M97" s="7">
        <f t="shared" si="34"/>
        <v>1.2321049284197139</v>
      </c>
      <c r="N97" s="6">
        <f>(((N93)+(N94))+(N95))+(N96)</f>
        <v>4034.0200000000004</v>
      </c>
      <c r="O97" s="6">
        <f>(((O93)+(O94))+(O95))+(O96)</f>
        <v>1666.6599999999999</v>
      </c>
      <c r="P97" s="6">
        <f t="shared" si="35"/>
        <v>2367.3600000000006</v>
      </c>
      <c r="Q97" s="7">
        <f t="shared" si="36"/>
        <v>2.4204216816867272</v>
      </c>
      <c r="R97" s="6">
        <f>(((R93)+(R94))+(R95))+(R96)</f>
        <v>2290.92</v>
      </c>
      <c r="S97" s="6">
        <f>(((S93)+(S94))+(S95))+(S96)</f>
        <v>1666.6599999999999</v>
      </c>
      <c r="T97" s="6">
        <f t="shared" si="37"/>
        <v>624.26000000000022</v>
      </c>
      <c r="U97" s="7">
        <f t="shared" si="38"/>
        <v>1.3745574982299931</v>
      </c>
      <c r="V97" s="6">
        <f t="shared" si="39"/>
        <v>8378.44</v>
      </c>
      <c r="W97" s="6">
        <f t="shared" si="40"/>
        <v>8333.2999999999993</v>
      </c>
      <c r="X97" s="6">
        <f t="shared" si="41"/>
        <v>45.140000000001237</v>
      </c>
      <c r="Y97" s="7">
        <f t="shared" si="42"/>
        <v>1.0054168216672867</v>
      </c>
    </row>
    <row r="98" spans="1:25" x14ac:dyDescent="0.25">
      <c r="A98" s="2" t="s">
        <v>101</v>
      </c>
      <c r="B98" s="3"/>
      <c r="C98" s="3"/>
      <c r="D98" s="4">
        <f t="shared" si="29"/>
        <v>0</v>
      </c>
      <c r="E98" s="5" t="str">
        <f t="shared" si="30"/>
        <v/>
      </c>
      <c r="F98" s="3"/>
      <c r="G98" s="3"/>
      <c r="H98" s="4">
        <f t="shared" si="31"/>
        <v>0</v>
      </c>
      <c r="I98" s="5" t="str">
        <f t="shared" si="32"/>
        <v/>
      </c>
      <c r="J98" s="3"/>
      <c r="K98" s="3"/>
      <c r="L98" s="4">
        <f t="shared" si="33"/>
        <v>0</v>
      </c>
      <c r="M98" s="5" t="str">
        <f t="shared" si="34"/>
        <v/>
      </c>
      <c r="N98" s="3"/>
      <c r="O98" s="3"/>
      <c r="P98" s="4">
        <f t="shared" si="35"/>
        <v>0</v>
      </c>
      <c r="Q98" s="5" t="str">
        <f t="shared" si="36"/>
        <v/>
      </c>
      <c r="R98" s="3"/>
      <c r="S98" s="3"/>
      <c r="T98" s="4">
        <f t="shared" si="37"/>
        <v>0</v>
      </c>
      <c r="U98" s="5" t="str">
        <f t="shared" si="38"/>
        <v/>
      </c>
      <c r="V98" s="4">
        <f t="shared" si="39"/>
        <v>0</v>
      </c>
      <c r="W98" s="4">
        <f t="shared" si="40"/>
        <v>0</v>
      </c>
      <c r="X98" s="4">
        <f t="shared" si="41"/>
        <v>0</v>
      </c>
      <c r="Y98" s="5" t="str">
        <f t="shared" si="42"/>
        <v/>
      </c>
    </row>
    <row r="99" spans="1:25" x14ac:dyDescent="0.25">
      <c r="A99" s="2" t="s">
        <v>102</v>
      </c>
      <c r="B99" s="3"/>
      <c r="C99" s="4">
        <f>866.67</f>
        <v>866.67</v>
      </c>
      <c r="D99" s="4">
        <f t="shared" si="29"/>
        <v>-866.67</v>
      </c>
      <c r="E99" s="5">
        <f t="shared" si="30"/>
        <v>0</v>
      </c>
      <c r="F99" s="3"/>
      <c r="G99" s="4">
        <f>866.67</f>
        <v>866.67</v>
      </c>
      <c r="H99" s="4">
        <f t="shared" si="31"/>
        <v>-866.67</v>
      </c>
      <c r="I99" s="5">
        <f t="shared" si="32"/>
        <v>0</v>
      </c>
      <c r="J99" s="3"/>
      <c r="K99" s="4">
        <f>866.67</f>
        <v>866.67</v>
      </c>
      <c r="L99" s="4">
        <f t="shared" si="33"/>
        <v>-866.67</v>
      </c>
      <c r="M99" s="5">
        <f t="shared" si="34"/>
        <v>0</v>
      </c>
      <c r="N99" s="4">
        <f>1920.91</f>
        <v>1920.91</v>
      </c>
      <c r="O99" s="4">
        <f>866.67</f>
        <v>866.67</v>
      </c>
      <c r="P99" s="4">
        <f t="shared" si="35"/>
        <v>1054.2400000000002</v>
      </c>
      <c r="Q99" s="5">
        <f t="shared" si="36"/>
        <v>2.2164260906688824</v>
      </c>
      <c r="R99" s="4">
        <f>80.2</f>
        <v>80.2</v>
      </c>
      <c r="S99" s="4">
        <f>866.67</f>
        <v>866.67</v>
      </c>
      <c r="T99" s="4">
        <f t="shared" si="37"/>
        <v>-786.46999999999991</v>
      </c>
      <c r="U99" s="5">
        <f t="shared" si="38"/>
        <v>9.2538105622670688E-2</v>
      </c>
      <c r="V99" s="4">
        <f t="shared" si="39"/>
        <v>2001.1100000000001</v>
      </c>
      <c r="W99" s="4">
        <f t="shared" si="40"/>
        <v>4333.3499999999995</v>
      </c>
      <c r="X99" s="4">
        <f t="shared" si="41"/>
        <v>-2332.2399999999993</v>
      </c>
      <c r="Y99" s="5">
        <f t="shared" si="42"/>
        <v>0.46179283925831061</v>
      </c>
    </row>
    <row r="100" spans="1:25" x14ac:dyDescent="0.25">
      <c r="A100" s="2" t="s">
        <v>103</v>
      </c>
      <c r="B100" s="3"/>
      <c r="C100" s="4">
        <f>466.67</f>
        <v>466.67</v>
      </c>
      <c r="D100" s="4">
        <f t="shared" si="29"/>
        <v>-466.67</v>
      </c>
      <c r="E100" s="5">
        <f t="shared" si="30"/>
        <v>0</v>
      </c>
      <c r="F100" s="3"/>
      <c r="G100" s="4">
        <f>466.67</f>
        <v>466.67</v>
      </c>
      <c r="H100" s="4">
        <f t="shared" si="31"/>
        <v>-466.67</v>
      </c>
      <c r="I100" s="5">
        <f t="shared" si="32"/>
        <v>0</v>
      </c>
      <c r="J100" s="3"/>
      <c r="K100" s="4">
        <f>466.67</f>
        <v>466.67</v>
      </c>
      <c r="L100" s="4">
        <f t="shared" si="33"/>
        <v>-466.67</v>
      </c>
      <c r="M100" s="5">
        <f t="shared" si="34"/>
        <v>0</v>
      </c>
      <c r="N100" s="4">
        <f>1034.34</f>
        <v>1034.3399999999999</v>
      </c>
      <c r="O100" s="4">
        <f>466.67</f>
        <v>466.67</v>
      </c>
      <c r="P100" s="4">
        <f t="shared" si="35"/>
        <v>567.66999999999985</v>
      </c>
      <c r="Q100" s="5">
        <f t="shared" si="36"/>
        <v>2.2164270255212459</v>
      </c>
      <c r="R100" s="4">
        <f>43.18</f>
        <v>43.18</v>
      </c>
      <c r="S100" s="4">
        <f>466.67</f>
        <v>466.67</v>
      </c>
      <c r="T100" s="4">
        <f t="shared" si="37"/>
        <v>-423.49</v>
      </c>
      <c r="U100" s="5">
        <f t="shared" si="38"/>
        <v>9.2527910514924885E-2</v>
      </c>
      <c r="V100" s="4">
        <f t="shared" si="39"/>
        <v>1077.52</v>
      </c>
      <c r="W100" s="4">
        <f t="shared" si="40"/>
        <v>2333.35</v>
      </c>
      <c r="X100" s="4">
        <f t="shared" si="41"/>
        <v>-1255.83</v>
      </c>
      <c r="Y100" s="5">
        <f t="shared" si="42"/>
        <v>0.46179098720723427</v>
      </c>
    </row>
    <row r="101" spans="1:25" x14ac:dyDescent="0.25">
      <c r="A101" s="2" t="s">
        <v>104</v>
      </c>
      <c r="B101" s="3"/>
      <c r="C101" s="3"/>
      <c r="D101" s="4">
        <f t="shared" si="29"/>
        <v>0</v>
      </c>
      <c r="E101" s="5" t="str">
        <f t="shared" si="30"/>
        <v/>
      </c>
      <c r="F101" s="3"/>
      <c r="G101" s="3"/>
      <c r="H101" s="4">
        <f t="shared" si="31"/>
        <v>0</v>
      </c>
      <c r="I101" s="5" t="str">
        <f t="shared" si="32"/>
        <v/>
      </c>
      <c r="J101" s="3"/>
      <c r="K101" s="3"/>
      <c r="L101" s="4">
        <f t="shared" si="33"/>
        <v>0</v>
      </c>
      <c r="M101" s="5" t="str">
        <f t="shared" si="34"/>
        <v/>
      </c>
      <c r="N101" s="4">
        <f>0</f>
        <v>0</v>
      </c>
      <c r="O101" s="3"/>
      <c r="P101" s="4">
        <f t="shared" si="35"/>
        <v>0</v>
      </c>
      <c r="Q101" s="5" t="str">
        <f t="shared" si="36"/>
        <v/>
      </c>
      <c r="R101" s="4">
        <f>0</f>
        <v>0</v>
      </c>
      <c r="S101" s="3"/>
      <c r="T101" s="4">
        <f t="shared" si="37"/>
        <v>0</v>
      </c>
      <c r="U101" s="5" t="str">
        <f t="shared" si="38"/>
        <v/>
      </c>
      <c r="V101" s="4">
        <f t="shared" si="39"/>
        <v>0</v>
      </c>
      <c r="W101" s="4">
        <f t="shared" si="40"/>
        <v>0</v>
      </c>
      <c r="X101" s="4">
        <f t="shared" si="41"/>
        <v>0</v>
      </c>
      <c r="Y101" s="5" t="str">
        <f t="shared" si="42"/>
        <v/>
      </c>
    </row>
    <row r="102" spans="1:25" x14ac:dyDescent="0.25">
      <c r="A102" s="2" t="s">
        <v>105</v>
      </c>
      <c r="B102" s="6">
        <f>(((B98)+(B99))+(B100))+(B101)</f>
        <v>0</v>
      </c>
      <c r="C102" s="6">
        <f>(((C98)+(C99))+(C100))+(C101)</f>
        <v>1333.34</v>
      </c>
      <c r="D102" s="6">
        <f t="shared" si="29"/>
        <v>-1333.34</v>
      </c>
      <c r="E102" s="7">
        <f t="shared" si="30"/>
        <v>0</v>
      </c>
      <c r="F102" s="6">
        <f>(((F98)+(F99))+(F100))+(F101)</f>
        <v>0</v>
      </c>
      <c r="G102" s="6">
        <f>(((G98)+(G99))+(G100))+(G101)</f>
        <v>1333.34</v>
      </c>
      <c r="H102" s="6">
        <f t="shared" si="31"/>
        <v>-1333.34</v>
      </c>
      <c r="I102" s="7">
        <f t="shared" si="32"/>
        <v>0</v>
      </c>
      <c r="J102" s="6">
        <f>(((J98)+(J99))+(J100))+(J101)</f>
        <v>0</v>
      </c>
      <c r="K102" s="6">
        <f>(((K98)+(K99))+(K100))+(K101)</f>
        <v>1333.34</v>
      </c>
      <c r="L102" s="6">
        <f t="shared" si="33"/>
        <v>-1333.34</v>
      </c>
      <c r="M102" s="7">
        <f t="shared" si="34"/>
        <v>0</v>
      </c>
      <c r="N102" s="6">
        <f>(((N98)+(N99))+(N100))+(N101)</f>
        <v>2955.25</v>
      </c>
      <c r="O102" s="6">
        <f>(((O98)+(O99))+(O100))+(O101)</f>
        <v>1333.34</v>
      </c>
      <c r="P102" s="6">
        <f t="shared" si="35"/>
        <v>1621.91</v>
      </c>
      <c r="Q102" s="7">
        <f t="shared" si="36"/>
        <v>2.2164264178679107</v>
      </c>
      <c r="R102" s="6">
        <f>(((R98)+(R99))+(R100))+(R101)</f>
        <v>123.38</v>
      </c>
      <c r="S102" s="6">
        <f>(((S98)+(S99))+(S100))+(S101)</f>
        <v>1333.34</v>
      </c>
      <c r="T102" s="6">
        <f t="shared" si="37"/>
        <v>-1209.96</v>
      </c>
      <c r="U102" s="7">
        <f t="shared" si="38"/>
        <v>9.2534537327313371E-2</v>
      </c>
      <c r="V102" s="6">
        <f t="shared" si="39"/>
        <v>3078.63</v>
      </c>
      <c r="W102" s="6">
        <f t="shared" si="40"/>
        <v>6666.7</v>
      </c>
      <c r="X102" s="6">
        <f t="shared" si="41"/>
        <v>-3588.0699999999997</v>
      </c>
      <c r="Y102" s="7">
        <f t="shared" si="42"/>
        <v>0.46179219103904484</v>
      </c>
    </row>
    <row r="103" spans="1:25" x14ac:dyDescent="0.25">
      <c r="A103" s="2" t="s">
        <v>106</v>
      </c>
      <c r="B103" s="3"/>
      <c r="C103" s="3"/>
      <c r="D103" s="4">
        <f t="shared" si="29"/>
        <v>0</v>
      </c>
      <c r="E103" s="5" t="str">
        <f t="shared" si="30"/>
        <v/>
      </c>
      <c r="F103" s="3"/>
      <c r="G103" s="3"/>
      <c r="H103" s="4">
        <f t="shared" si="31"/>
        <v>0</v>
      </c>
      <c r="I103" s="5" t="str">
        <f t="shared" si="32"/>
        <v/>
      </c>
      <c r="J103" s="3"/>
      <c r="K103" s="3"/>
      <c r="L103" s="4">
        <f t="shared" si="33"/>
        <v>0</v>
      </c>
      <c r="M103" s="5" t="str">
        <f t="shared" si="34"/>
        <v/>
      </c>
      <c r="N103" s="3"/>
      <c r="O103" s="3"/>
      <c r="P103" s="4">
        <f t="shared" si="35"/>
        <v>0</v>
      </c>
      <c r="Q103" s="5" t="str">
        <f t="shared" si="36"/>
        <v/>
      </c>
      <c r="R103" s="3"/>
      <c r="S103" s="3"/>
      <c r="T103" s="4">
        <f t="shared" si="37"/>
        <v>0</v>
      </c>
      <c r="U103" s="5" t="str">
        <f t="shared" si="38"/>
        <v/>
      </c>
      <c r="V103" s="4">
        <f t="shared" si="39"/>
        <v>0</v>
      </c>
      <c r="W103" s="4">
        <f t="shared" si="40"/>
        <v>0</v>
      </c>
      <c r="X103" s="4">
        <f t="shared" si="41"/>
        <v>0</v>
      </c>
      <c r="Y103" s="5" t="str">
        <f t="shared" si="42"/>
        <v/>
      </c>
    </row>
    <row r="104" spans="1:25" x14ac:dyDescent="0.25">
      <c r="A104" s="2" t="s">
        <v>107</v>
      </c>
      <c r="B104" s="4">
        <f>4480.13</f>
        <v>4480.13</v>
      </c>
      <c r="C104" s="4">
        <f>4875</f>
        <v>4875</v>
      </c>
      <c r="D104" s="4">
        <f t="shared" si="29"/>
        <v>-394.86999999999989</v>
      </c>
      <c r="E104" s="5">
        <f t="shared" si="30"/>
        <v>0.9190010256410257</v>
      </c>
      <c r="F104" s="4">
        <f>3087.5</f>
        <v>3087.5</v>
      </c>
      <c r="G104" s="4">
        <f>4875</f>
        <v>4875</v>
      </c>
      <c r="H104" s="4">
        <f t="shared" si="31"/>
        <v>-1787.5</v>
      </c>
      <c r="I104" s="5">
        <f t="shared" si="32"/>
        <v>0.6333333333333333</v>
      </c>
      <c r="J104" s="4">
        <f>3698.8</f>
        <v>3698.8</v>
      </c>
      <c r="K104" s="4">
        <f>4875</f>
        <v>4875</v>
      </c>
      <c r="L104" s="4">
        <f t="shared" si="33"/>
        <v>-1176.1999999999998</v>
      </c>
      <c r="M104" s="5">
        <f t="shared" si="34"/>
        <v>0.75872820512820516</v>
      </c>
      <c r="N104" s="4">
        <f>3250</f>
        <v>3250</v>
      </c>
      <c r="O104" s="4">
        <f>4875</f>
        <v>4875</v>
      </c>
      <c r="P104" s="4">
        <f t="shared" si="35"/>
        <v>-1625</v>
      </c>
      <c r="Q104" s="5">
        <f t="shared" si="36"/>
        <v>0.66666666666666663</v>
      </c>
      <c r="R104" s="4">
        <f>2927.78</f>
        <v>2927.78</v>
      </c>
      <c r="S104" s="4">
        <f>4875</f>
        <v>4875</v>
      </c>
      <c r="T104" s="4">
        <f t="shared" si="37"/>
        <v>-1947.2199999999998</v>
      </c>
      <c r="U104" s="5">
        <f t="shared" si="38"/>
        <v>0.60057025641025641</v>
      </c>
      <c r="V104" s="4">
        <f t="shared" si="39"/>
        <v>17444.21</v>
      </c>
      <c r="W104" s="4">
        <f t="shared" si="40"/>
        <v>24375</v>
      </c>
      <c r="X104" s="4">
        <f t="shared" si="41"/>
        <v>-6930.7900000000009</v>
      </c>
      <c r="Y104" s="5">
        <f t="shared" si="42"/>
        <v>0.71565989743589742</v>
      </c>
    </row>
    <row r="105" spans="1:25" x14ac:dyDescent="0.25">
      <c r="A105" s="2" t="s">
        <v>108</v>
      </c>
      <c r="B105" s="4">
        <f>2412.37</f>
        <v>2412.37</v>
      </c>
      <c r="C105" s="4">
        <f>2625</f>
        <v>2625</v>
      </c>
      <c r="D105" s="4">
        <f t="shared" si="29"/>
        <v>-212.63000000000011</v>
      </c>
      <c r="E105" s="5">
        <f t="shared" si="30"/>
        <v>0.91899809523809517</v>
      </c>
      <c r="F105" s="4">
        <f>1662.5</f>
        <v>1662.5</v>
      </c>
      <c r="G105" s="4">
        <f>2625</f>
        <v>2625</v>
      </c>
      <c r="H105" s="4">
        <f t="shared" si="31"/>
        <v>-962.5</v>
      </c>
      <c r="I105" s="5">
        <f t="shared" si="32"/>
        <v>0.6333333333333333</v>
      </c>
      <c r="J105" s="4">
        <f>1991.66</f>
        <v>1991.66</v>
      </c>
      <c r="K105" s="4">
        <f>2625</f>
        <v>2625</v>
      </c>
      <c r="L105" s="4">
        <f t="shared" si="33"/>
        <v>-633.33999999999992</v>
      </c>
      <c r="M105" s="5">
        <f t="shared" si="34"/>
        <v>0.7587276190476191</v>
      </c>
      <c r="N105" s="4">
        <f>1750</f>
        <v>1750</v>
      </c>
      <c r="O105" s="4">
        <f>2625</f>
        <v>2625</v>
      </c>
      <c r="P105" s="4">
        <f t="shared" si="35"/>
        <v>-875</v>
      </c>
      <c r="Q105" s="5">
        <f t="shared" si="36"/>
        <v>0.66666666666666663</v>
      </c>
      <c r="R105" s="4">
        <f>1576.49</f>
        <v>1576.49</v>
      </c>
      <c r="S105" s="4">
        <f>2625</f>
        <v>2625</v>
      </c>
      <c r="T105" s="4">
        <f t="shared" si="37"/>
        <v>-1048.51</v>
      </c>
      <c r="U105" s="5">
        <f t="shared" si="38"/>
        <v>0.60056761904761902</v>
      </c>
      <c r="V105" s="4">
        <f t="shared" si="39"/>
        <v>9393.02</v>
      </c>
      <c r="W105" s="4">
        <f t="shared" si="40"/>
        <v>13125</v>
      </c>
      <c r="X105" s="4">
        <f t="shared" si="41"/>
        <v>-3731.9799999999996</v>
      </c>
      <c r="Y105" s="5">
        <f t="shared" si="42"/>
        <v>0.71565866666666667</v>
      </c>
    </row>
    <row r="106" spans="1:25" x14ac:dyDescent="0.25">
      <c r="A106" s="2" t="s">
        <v>109</v>
      </c>
      <c r="B106" s="4">
        <f>0</f>
        <v>0</v>
      </c>
      <c r="C106" s="3"/>
      <c r="D106" s="4">
        <f t="shared" si="29"/>
        <v>0</v>
      </c>
      <c r="E106" s="5" t="str">
        <f t="shared" si="30"/>
        <v/>
      </c>
      <c r="F106" s="4">
        <f>0</f>
        <v>0</v>
      </c>
      <c r="G106" s="3"/>
      <c r="H106" s="4">
        <f t="shared" si="31"/>
        <v>0</v>
      </c>
      <c r="I106" s="5" t="str">
        <f t="shared" si="32"/>
        <v/>
      </c>
      <c r="J106" s="4">
        <f>-1190.46</f>
        <v>-1190.46</v>
      </c>
      <c r="K106" s="3"/>
      <c r="L106" s="4">
        <f t="shared" si="33"/>
        <v>-1190.46</v>
      </c>
      <c r="M106" s="5" t="str">
        <f t="shared" si="34"/>
        <v/>
      </c>
      <c r="N106" s="4">
        <f>0</f>
        <v>0</v>
      </c>
      <c r="O106" s="3"/>
      <c r="P106" s="4">
        <f t="shared" si="35"/>
        <v>0</v>
      </c>
      <c r="Q106" s="5" t="str">
        <f t="shared" si="36"/>
        <v/>
      </c>
      <c r="R106" s="4">
        <f>0</f>
        <v>0</v>
      </c>
      <c r="S106" s="3"/>
      <c r="T106" s="4">
        <f t="shared" si="37"/>
        <v>0</v>
      </c>
      <c r="U106" s="5" t="str">
        <f t="shared" si="38"/>
        <v/>
      </c>
      <c r="V106" s="4">
        <f t="shared" si="39"/>
        <v>-1190.46</v>
      </c>
      <c r="W106" s="4">
        <f t="shared" si="40"/>
        <v>0</v>
      </c>
      <c r="X106" s="4">
        <f t="shared" si="41"/>
        <v>-1190.46</v>
      </c>
      <c r="Y106" s="5" t="str">
        <f t="shared" si="42"/>
        <v/>
      </c>
    </row>
    <row r="107" spans="1:25" x14ac:dyDescent="0.25">
      <c r="A107" s="2" t="s">
        <v>110</v>
      </c>
      <c r="B107" s="6">
        <f>(((B103)+(B104))+(B105))+(B106)</f>
        <v>6892.5</v>
      </c>
      <c r="C107" s="6">
        <f>(((C103)+(C104))+(C105))+(C106)</f>
        <v>7500</v>
      </c>
      <c r="D107" s="6">
        <f t="shared" si="29"/>
        <v>-607.5</v>
      </c>
      <c r="E107" s="7">
        <f t="shared" si="30"/>
        <v>0.91900000000000004</v>
      </c>
      <c r="F107" s="6">
        <f>(((F103)+(F104))+(F105))+(F106)</f>
        <v>4750</v>
      </c>
      <c r="G107" s="6">
        <f>(((G103)+(G104))+(G105))+(G106)</f>
        <v>7500</v>
      </c>
      <c r="H107" s="6">
        <f t="shared" si="31"/>
        <v>-2750</v>
      </c>
      <c r="I107" s="7">
        <f t="shared" si="32"/>
        <v>0.6333333333333333</v>
      </c>
      <c r="J107" s="6">
        <f>(((J103)+(J104))+(J105))+(J106)</f>
        <v>4500</v>
      </c>
      <c r="K107" s="6">
        <f>(((K103)+(K104))+(K105))+(K106)</f>
        <v>7500</v>
      </c>
      <c r="L107" s="6">
        <f t="shared" si="33"/>
        <v>-3000</v>
      </c>
      <c r="M107" s="7">
        <f t="shared" si="34"/>
        <v>0.6</v>
      </c>
      <c r="N107" s="6">
        <f>(((N103)+(N104))+(N105))+(N106)</f>
        <v>5000</v>
      </c>
      <c r="O107" s="6">
        <f>(((O103)+(O104))+(O105))+(O106)</f>
        <v>7500</v>
      </c>
      <c r="P107" s="6">
        <f t="shared" si="35"/>
        <v>-2500</v>
      </c>
      <c r="Q107" s="7">
        <f t="shared" si="36"/>
        <v>0.66666666666666663</v>
      </c>
      <c r="R107" s="6">
        <f>(((R103)+(R104))+(R105))+(R106)</f>
        <v>4504.2700000000004</v>
      </c>
      <c r="S107" s="6">
        <f>(((S103)+(S104))+(S105))+(S106)</f>
        <v>7500</v>
      </c>
      <c r="T107" s="6">
        <f t="shared" si="37"/>
        <v>-2995.7299999999996</v>
      </c>
      <c r="U107" s="7">
        <f t="shared" si="38"/>
        <v>0.6005693333333334</v>
      </c>
      <c r="V107" s="6">
        <f t="shared" si="39"/>
        <v>25646.77</v>
      </c>
      <c r="W107" s="6">
        <f t="shared" si="40"/>
        <v>37500</v>
      </c>
      <c r="X107" s="6">
        <f t="shared" si="41"/>
        <v>-11853.23</v>
      </c>
      <c r="Y107" s="7">
        <f t="shared" si="42"/>
        <v>0.68391386666666665</v>
      </c>
    </row>
    <row r="108" spans="1:25" x14ac:dyDescent="0.25">
      <c r="A108" s="2" t="s">
        <v>111</v>
      </c>
      <c r="B108" s="3"/>
      <c r="C108" s="3"/>
      <c r="D108" s="4">
        <f t="shared" si="29"/>
        <v>0</v>
      </c>
      <c r="E108" s="5" t="str">
        <f t="shared" si="30"/>
        <v/>
      </c>
      <c r="F108" s="3"/>
      <c r="G108" s="3"/>
      <c r="H108" s="4">
        <f t="shared" si="31"/>
        <v>0</v>
      </c>
      <c r="I108" s="5" t="str">
        <f t="shared" si="32"/>
        <v/>
      </c>
      <c r="J108" s="3"/>
      <c r="K108" s="3"/>
      <c r="L108" s="4">
        <f t="shared" si="33"/>
        <v>0</v>
      </c>
      <c r="M108" s="5" t="str">
        <f t="shared" si="34"/>
        <v/>
      </c>
      <c r="N108" s="3"/>
      <c r="O108" s="3"/>
      <c r="P108" s="4">
        <f t="shared" si="35"/>
        <v>0</v>
      </c>
      <c r="Q108" s="5" t="str">
        <f t="shared" si="36"/>
        <v/>
      </c>
      <c r="R108" s="3"/>
      <c r="S108" s="3"/>
      <c r="T108" s="4">
        <f t="shared" si="37"/>
        <v>0</v>
      </c>
      <c r="U108" s="5" t="str">
        <f t="shared" si="38"/>
        <v/>
      </c>
      <c r="V108" s="4">
        <f t="shared" si="39"/>
        <v>0</v>
      </c>
      <c r="W108" s="4">
        <f t="shared" si="40"/>
        <v>0</v>
      </c>
      <c r="X108" s="4">
        <f t="shared" si="41"/>
        <v>0</v>
      </c>
      <c r="Y108" s="5" t="str">
        <f t="shared" si="42"/>
        <v/>
      </c>
    </row>
    <row r="109" spans="1:25" x14ac:dyDescent="0.25">
      <c r="A109" s="2" t="s">
        <v>112</v>
      </c>
      <c r="B109" s="4">
        <f>122.54</f>
        <v>122.54</v>
      </c>
      <c r="C109" s="4">
        <f>54.17</f>
        <v>54.17</v>
      </c>
      <c r="D109" s="4">
        <f t="shared" si="29"/>
        <v>68.37</v>
      </c>
      <c r="E109" s="5">
        <f t="shared" si="30"/>
        <v>2.2621377146021784</v>
      </c>
      <c r="F109" s="4">
        <f>21.42</f>
        <v>21.42</v>
      </c>
      <c r="G109" s="4">
        <f>54.17</f>
        <v>54.17</v>
      </c>
      <c r="H109" s="4">
        <f t="shared" si="31"/>
        <v>-32.75</v>
      </c>
      <c r="I109" s="5">
        <f t="shared" si="32"/>
        <v>0.39542182019568028</v>
      </c>
      <c r="J109" s="4">
        <f>213.76</f>
        <v>213.76</v>
      </c>
      <c r="K109" s="4">
        <f>54.17</f>
        <v>54.17</v>
      </c>
      <c r="L109" s="4">
        <f t="shared" si="33"/>
        <v>159.58999999999997</v>
      </c>
      <c r="M109" s="5">
        <f t="shared" si="34"/>
        <v>3.9460956248846224</v>
      </c>
      <c r="N109" s="4">
        <f>175.39</f>
        <v>175.39</v>
      </c>
      <c r="O109" s="4">
        <f>54.17</f>
        <v>54.17</v>
      </c>
      <c r="P109" s="4">
        <f t="shared" si="35"/>
        <v>121.21999999999998</v>
      </c>
      <c r="Q109" s="5">
        <f t="shared" si="36"/>
        <v>3.2377699833856375</v>
      </c>
      <c r="R109" s="4">
        <f>112.22</f>
        <v>112.22</v>
      </c>
      <c r="S109" s="4">
        <f>54.17</f>
        <v>54.17</v>
      </c>
      <c r="T109" s="4">
        <f t="shared" si="37"/>
        <v>58.05</v>
      </c>
      <c r="U109" s="5">
        <f t="shared" si="38"/>
        <v>2.0716263614546797</v>
      </c>
      <c r="V109" s="4">
        <f t="shared" si="39"/>
        <v>645.33000000000004</v>
      </c>
      <c r="W109" s="4">
        <f t="shared" si="40"/>
        <v>270.85000000000002</v>
      </c>
      <c r="X109" s="4">
        <f t="shared" si="41"/>
        <v>374.48</v>
      </c>
      <c r="Y109" s="5">
        <f t="shared" si="42"/>
        <v>2.3826103009045596</v>
      </c>
    </row>
    <row r="110" spans="1:25" x14ac:dyDescent="0.25">
      <c r="A110" s="2" t="s">
        <v>113</v>
      </c>
      <c r="B110" s="4">
        <f>65.98</f>
        <v>65.98</v>
      </c>
      <c r="C110" s="4">
        <f>29.17</f>
        <v>29.17</v>
      </c>
      <c r="D110" s="4">
        <f t="shared" ref="D110:D141" si="43">(B110)-(C110)</f>
        <v>36.81</v>
      </c>
      <c r="E110" s="5">
        <f t="shared" ref="E110:E115" si="44">IF(C110=0,"",(B110)/(C110))</f>
        <v>2.26191292423723</v>
      </c>
      <c r="F110" s="4">
        <f>11.53</f>
        <v>11.53</v>
      </c>
      <c r="G110" s="4">
        <f>29.17</f>
        <v>29.17</v>
      </c>
      <c r="H110" s="4">
        <f t="shared" ref="H110:H141" si="45">(F110)-(G110)</f>
        <v>-17.64</v>
      </c>
      <c r="I110" s="5">
        <f t="shared" ref="I110:I115" si="46">IF(G110=0,"",(F110)/(G110))</f>
        <v>0.39526911210147408</v>
      </c>
      <c r="J110" s="4">
        <f>115.1</f>
        <v>115.1</v>
      </c>
      <c r="K110" s="4">
        <f>29.17</f>
        <v>29.17</v>
      </c>
      <c r="L110" s="4">
        <f t="shared" ref="L110:L141" si="47">(J110)-(K110)</f>
        <v>85.929999999999993</v>
      </c>
      <c r="M110" s="5">
        <f t="shared" ref="M110:M115" si="48">IF(K110=0,"",(J110)/(K110))</f>
        <v>3.9458347617415148</v>
      </c>
      <c r="N110" s="4">
        <f>94.44</f>
        <v>94.44</v>
      </c>
      <c r="O110" s="4">
        <f>29.17</f>
        <v>29.17</v>
      </c>
      <c r="P110" s="4">
        <f t="shared" ref="P110:P141" si="49">(N110)-(O110)</f>
        <v>65.27</v>
      </c>
      <c r="Q110" s="5">
        <f t="shared" ref="Q110:Q115" si="50">IF(O110=0,"",(N110)/(O110))</f>
        <v>3.2375728488172779</v>
      </c>
      <c r="R110" s="4">
        <f>60.42</f>
        <v>60.42</v>
      </c>
      <c r="S110" s="4">
        <f>29.17</f>
        <v>29.17</v>
      </c>
      <c r="T110" s="4">
        <f t="shared" ref="T110:T141" si="51">(R110)-(S110)</f>
        <v>31.25</v>
      </c>
      <c r="U110" s="5">
        <f t="shared" ref="U110:U115" si="52">IF(S110=0,"",(R110)/(S110))</f>
        <v>2.0713061364415495</v>
      </c>
      <c r="V110" s="4">
        <f t="shared" ref="V110:V115" si="53">((((B110)+(F110))+(J110))+(N110))+(R110)</f>
        <v>347.47</v>
      </c>
      <c r="W110" s="4">
        <f t="shared" ref="W110:W115" si="54">((((C110)+(G110))+(K110))+(O110))+(S110)</f>
        <v>145.85000000000002</v>
      </c>
      <c r="X110" s="4">
        <f t="shared" ref="X110:X141" si="55">(V110)-(W110)</f>
        <v>201.62</v>
      </c>
      <c r="Y110" s="5">
        <f t="shared" ref="Y110:Y115" si="56">IF(W110=0,"",(V110)/(W110))</f>
        <v>2.3823791566678092</v>
      </c>
    </row>
    <row r="111" spans="1:25" x14ac:dyDescent="0.25">
      <c r="A111" s="2" t="s">
        <v>114</v>
      </c>
      <c r="B111" s="4">
        <f>0</f>
        <v>0</v>
      </c>
      <c r="C111" s="3"/>
      <c r="D111" s="4">
        <f t="shared" si="43"/>
        <v>0</v>
      </c>
      <c r="E111" s="5" t="str">
        <f t="shared" si="44"/>
        <v/>
      </c>
      <c r="F111" s="4">
        <f>0</f>
        <v>0</v>
      </c>
      <c r="G111" s="3"/>
      <c r="H111" s="4">
        <f t="shared" si="45"/>
        <v>0</v>
      </c>
      <c r="I111" s="5" t="str">
        <f t="shared" si="46"/>
        <v/>
      </c>
      <c r="J111" s="4">
        <f>0</f>
        <v>0</v>
      </c>
      <c r="K111" s="3"/>
      <c r="L111" s="4">
        <f t="shared" si="47"/>
        <v>0</v>
      </c>
      <c r="M111" s="5" t="str">
        <f t="shared" si="48"/>
        <v/>
      </c>
      <c r="N111" s="4">
        <f>0</f>
        <v>0</v>
      </c>
      <c r="O111" s="3"/>
      <c r="P111" s="4">
        <f t="shared" si="49"/>
        <v>0</v>
      </c>
      <c r="Q111" s="5" t="str">
        <f t="shared" si="50"/>
        <v/>
      </c>
      <c r="R111" s="4">
        <f>0</f>
        <v>0</v>
      </c>
      <c r="S111" s="3"/>
      <c r="T111" s="4">
        <f t="shared" si="51"/>
        <v>0</v>
      </c>
      <c r="U111" s="5" t="str">
        <f t="shared" si="52"/>
        <v/>
      </c>
      <c r="V111" s="4">
        <f t="shared" si="53"/>
        <v>0</v>
      </c>
      <c r="W111" s="4">
        <f t="shared" si="54"/>
        <v>0</v>
      </c>
      <c r="X111" s="4">
        <f t="shared" si="55"/>
        <v>0</v>
      </c>
      <c r="Y111" s="5" t="str">
        <f t="shared" si="56"/>
        <v/>
      </c>
    </row>
    <row r="112" spans="1:25" x14ac:dyDescent="0.25">
      <c r="A112" s="2" t="s">
        <v>115</v>
      </c>
      <c r="B112" s="6">
        <f>(((B108)+(B109))+(B110))+(B111)</f>
        <v>188.52</v>
      </c>
      <c r="C112" s="6">
        <f>(((C108)+(C109))+(C110))+(C111)</f>
        <v>83.34</v>
      </c>
      <c r="D112" s="6">
        <f t="shared" si="43"/>
        <v>105.18</v>
      </c>
      <c r="E112" s="7">
        <f t="shared" si="44"/>
        <v>2.2620590352771779</v>
      </c>
      <c r="F112" s="6">
        <f>(((F108)+(F109))+(F110))+(F111)</f>
        <v>32.950000000000003</v>
      </c>
      <c r="G112" s="6">
        <f>(((G108)+(G109))+(G110))+(G111)</f>
        <v>83.34</v>
      </c>
      <c r="H112" s="6">
        <f t="shared" si="45"/>
        <v>-50.39</v>
      </c>
      <c r="I112" s="7">
        <f t="shared" si="46"/>
        <v>0.39536837053035762</v>
      </c>
      <c r="J112" s="6">
        <f>(((J108)+(J109))+(J110))+(J111)</f>
        <v>328.86</v>
      </c>
      <c r="K112" s="6">
        <f>(((K108)+(K109))+(K110))+(K111)</f>
        <v>83.34</v>
      </c>
      <c r="L112" s="6">
        <f t="shared" si="47"/>
        <v>245.52</v>
      </c>
      <c r="M112" s="7">
        <f t="shared" si="48"/>
        <v>3.9460043196544277</v>
      </c>
      <c r="N112" s="6">
        <f>(((N108)+(N109))+(N110))+(N111)</f>
        <v>269.83</v>
      </c>
      <c r="O112" s="6">
        <f>(((O108)+(O109))+(O110))+(O111)</f>
        <v>83.34</v>
      </c>
      <c r="P112" s="6">
        <f t="shared" si="49"/>
        <v>186.48999999999998</v>
      </c>
      <c r="Q112" s="7">
        <f t="shared" si="50"/>
        <v>3.237700983921286</v>
      </c>
      <c r="R112" s="6">
        <f>(((R108)+(R109))+(R110))+(R111)</f>
        <v>172.64</v>
      </c>
      <c r="S112" s="6">
        <f>(((S108)+(S109))+(S110))+(S111)</f>
        <v>83.34</v>
      </c>
      <c r="T112" s="6">
        <f t="shared" si="51"/>
        <v>89.299999999999983</v>
      </c>
      <c r="U112" s="7">
        <f t="shared" si="52"/>
        <v>2.0715142788576912</v>
      </c>
      <c r="V112" s="6">
        <f t="shared" si="53"/>
        <v>992.80000000000007</v>
      </c>
      <c r="W112" s="6">
        <f t="shared" si="54"/>
        <v>416.70000000000005</v>
      </c>
      <c r="X112" s="6">
        <f t="shared" si="55"/>
        <v>576.1</v>
      </c>
      <c r="Y112" s="7">
        <f t="shared" si="56"/>
        <v>2.3825293976481881</v>
      </c>
    </row>
    <row r="113" spans="1:25" x14ac:dyDescent="0.25">
      <c r="A113" s="2" t="s">
        <v>116</v>
      </c>
      <c r="B113" s="6">
        <f>(((((((((((((((((((B18)+(B23))+(B28))+(B33))+(B38))+(B43))+(B48))+(B53))+(B58))+(B63))+(B68))+(B73))+(B78))+(B83))+(B88))+(B92))+(B97))+(B102))+(B107))+(B112)</f>
        <v>20857.250000000004</v>
      </c>
      <c r="C113" s="6">
        <f>(((((((((((((((((((C18)+(C23))+(C28))+(C33))+(C38))+(C43))+(C48))+(C53))+(C58))+(C63))+(C68))+(C73))+(C78))+(C83))+(C88))+(C92))+(C97))+(C102))+(C107))+(C112)</f>
        <v>32207.31</v>
      </c>
      <c r="D113" s="6">
        <f t="shared" si="43"/>
        <v>-11350.059999999998</v>
      </c>
      <c r="E113" s="7">
        <f t="shared" si="44"/>
        <v>0.64759366740035107</v>
      </c>
      <c r="F113" s="6">
        <f>(((((((((((((((((((F18)+(F23))+(F28))+(F33))+(F38))+(F43))+(F48))+(F53))+(F58))+(F63))+(F68))+(F73))+(F78))+(F83))+(F88))+(F92))+(F97))+(F102))+(F107))+(F112)</f>
        <v>22918.929999999997</v>
      </c>
      <c r="G113" s="6">
        <f>(((((((((((((((((((G18)+(G23))+(G28))+(G33))+(G38))+(G43))+(G48))+(G53))+(G58))+(G63))+(G68))+(G73))+(G78))+(G83))+(G88))+(G92))+(G97))+(G102))+(G107))+(G112)</f>
        <v>32207.31</v>
      </c>
      <c r="H113" s="6">
        <f t="shared" si="45"/>
        <v>-9288.3800000000047</v>
      </c>
      <c r="I113" s="7">
        <f t="shared" si="46"/>
        <v>0.71160646449517195</v>
      </c>
      <c r="J113" s="6">
        <f>(((((((((((((((((((J18)+(J23))+(J28))+(J33))+(J38))+(J43))+(J48))+(J53))+(J58))+(J63))+(J68))+(J73))+(J78))+(J83))+(J88))+(J92))+(J97))+(J102))+(J107))+(J112)</f>
        <v>31676.850000000006</v>
      </c>
      <c r="K113" s="6">
        <f>(((((((((((((((((((K18)+(K23))+(K28))+(K33))+(K38))+(K43))+(K48))+(K53))+(K58))+(K63))+(K68))+(K73))+(K78))+(K83))+(K88))+(K92))+(K97))+(K102))+(K107))+(K112)</f>
        <v>32207.31</v>
      </c>
      <c r="L113" s="6">
        <f t="shared" si="47"/>
        <v>-530.45999999999549</v>
      </c>
      <c r="M113" s="7">
        <f t="shared" si="48"/>
        <v>0.98352982599291916</v>
      </c>
      <c r="N113" s="6">
        <f>(((((((((((((((((((N18)+(N23))+(N28))+(N33))+(N38))+(N43))+(N48))+(N53))+(N58))+(N63))+(N68))+(N73))+(N78))+(N83))+(N88))+(N92))+(N97))+(N102))+(N107))+(N112)</f>
        <v>39376.97</v>
      </c>
      <c r="O113" s="6">
        <f>(((((((((((((((((((O18)+(O23))+(O28))+(O33))+(O38))+(O43))+(O48))+(O53))+(O58))+(O63))+(O68))+(O73))+(O78))+(O83))+(O88))+(O92))+(O97))+(O102))+(O107))+(O112)</f>
        <v>32207.31</v>
      </c>
      <c r="P113" s="6">
        <f t="shared" si="49"/>
        <v>7169.66</v>
      </c>
      <c r="Q113" s="7">
        <f t="shared" si="50"/>
        <v>1.2226097118945978</v>
      </c>
      <c r="R113" s="6">
        <f>(((((((((((((((((((R18)+(R23))+(R28))+(R33))+(R38))+(R43))+(R48))+(R53))+(R58))+(R63))+(R68))+(R73))+(R78))+(R83))+(R88))+(R92))+(R97))+(R102))+(R107))+(R112)</f>
        <v>26293.599999999999</v>
      </c>
      <c r="S113" s="6">
        <f>(((((((((((((((((((S18)+(S23))+(S28))+(S33))+(S38))+(S43))+(S48))+(S53))+(S58))+(S63))+(S68))+(S73))+(S78))+(S83))+(S88))+(S92))+(S97))+(S102))+(S107))+(S112)</f>
        <v>32207.31</v>
      </c>
      <c r="T113" s="6">
        <f t="shared" si="51"/>
        <v>-5913.7100000000028</v>
      </c>
      <c r="U113" s="7">
        <f t="shared" si="52"/>
        <v>0.81638609371599169</v>
      </c>
      <c r="V113" s="6">
        <f t="shared" si="53"/>
        <v>141123.6</v>
      </c>
      <c r="W113" s="6">
        <f t="shared" si="54"/>
        <v>161036.55000000002</v>
      </c>
      <c r="X113" s="6">
        <f t="shared" si="55"/>
        <v>-19912.950000000012</v>
      </c>
      <c r="Y113" s="7">
        <f t="shared" si="56"/>
        <v>0.87634515269980628</v>
      </c>
    </row>
    <row r="114" spans="1:25" x14ac:dyDescent="0.25">
      <c r="A114" s="2" t="s">
        <v>117</v>
      </c>
      <c r="B114" s="6">
        <f>(B12)-(B113)</f>
        <v>0</v>
      </c>
      <c r="C114" s="6">
        <f>(C12)-(C113)</f>
        <v>1666.6699999999946</v>
      </c>
      <c r="D114" s="6">
        <f t="shared" si="43"/>
        <v>-1666.6699999999946</v>
      </c>
      <c r="E114" s="7">
        <f t="shared" si="44"/>
        <v>0</v>
      </c>
      <c r="F114" s="6">
        <f>(F12)-(F113)</f>
        <v>324.94000000000597</v>
      </c>
      <c r="G114" s="6">
        <f>(G12)-(G113)</f>
        <v>1666.6699999999946</v>
      </c>
      <c r="H114" s="6">
        <f t="shared" si="45"/>
        <v>-1341.7299999999886</v>
      </c>
      <c r="I114" s="7">
        <f t="shared" si="46"/>
        <v>0.19496361007278407</v>
      </c>
      <c r="J114" s="6">
        <f>(J12)-(J113)</f>
        <v>1190.4599999999919</v>
      </c>
      <c r="K114" s="6">
        <f>(K12)-(K113)</f>
        <v>1666.6699999999946</v>
      </c>
      <c r="L114" s="6">
        <f t="shared" si="47"/>
        <v>-476.21000000000276</v>
      </c>
      <c r="M114" s="7">
        <f t="shared" si="48"/>
        <v>0.71427457145085449</v>
      </c>
      <c r="N114" s="6">
        <f>(N12)-(N113)</f>
        <v>146</v>
      </c>
      <c r="O114" s="6">
        <f>(O12)-(O113)</f>
        <v>1666.6699999999946</v>
      </c>
      <c r="P114" s="6">
        <f t="shared" si="49"/>
        <v>-1520.6699999999946</v>
      </c>
      <c r="Q114" s="7">
        <f t="shared" si="50"/>
        <v>8.7599824800350681E-2</v>
      </c>
      <c r="R114" s="6">
        <f>(R12)-(R113)</f>
        <v>-146</v>
      </c>
      <c r="S114" s="6">
        <f>(S12)-(S113)</f>
        <v>1666.6699999999946</v>
      </c>
      <c r="T114" s="6">
        <f t="shared" si="51"/>
        <v>-1812.6699999999946</v>
      </c>
      <c r="U114" s="7">
        <f t="shared" si="52"/>
        <v>-8.7599824800350681E-2</v>
      </c>
      <c r="V114" s="6">
        <f t="shared" si="53"/>
        <v>1515.3999999999978</v>
      </c>
      <c r="W114" s="6">
        <f t="shared" si="54"/>
        <v>8333.3499999999731</v>
      </c>
      <c r="X114" s="6">
        <f t="shared" si="55"/>
        <v>-6817.9499999999753</v>
      </c>
      <c r="Y114" s="7">
        <f t="shared" si="56"/>
        <v>0.18184763630472772</v>
      </c>
    </row>
    <row r="115" spans="1:25" x14ac:dyDescent="0.25">
      <c r="A115" s="2" t="s">
        <v>118</v>
      </c>
      <c r="B115" s="8">
        <f>(B114)+(0)</f>
        <v>0</v>
      </c>
      <c r="C115" s="8">
        <f>(C114)+(0)</f>
        <v>1666.6699999999946</v>
      </c>
      <c r="D115" s="8">
        <f t="shared" si="43"/>
        <v>-1666.6699999999946</v>
      </c>
      <c r="E115" s="9">
        <f t="shared" si="44"/>
        <v>0</v>
      </c>
      <c r="F115" s="8">
        <f>(F114)+(0)</f>
        <v>324.94000000000597</v>
      </c>
      <c r="G115" s="8">
        <f>(G114)+(0)</f>
        <v>1666.6699999999946</v>
      </c>
      <c r="H115" s="8">
        <f t="shared" si="45"/>
        <v>-1341.7299999999886</v>
      </c>
      <c r="I115" s="9">
        <f t="shared" si="46"/>
        <v>0.19496361007278407</v>
      </c>
      <c r="J115" s="8">
        <f>(J114)+(0)</f>
        <v>1190.4599999999919</v>
      </c>
      <c r="K115" s="8">
        <f>(K114)+(0)</f>
        <v>1666.6699999999946</v>
      </c>
      <c r="L115" s="8">
        <f t="shared" si="47"/>
        <v>-476.21000000000276</v>
      </c>
      <c r="M115" s="9">
        <f t="shared" si="48"/>
        <v>0.71427457145085449</v>
      </c>
      <c r="N115" s="8">
        <f>(N114)+(0)</f>
        <v>146</v>
      </c>
      <c r="O115" s="8">
        <f>(O114)+(0)</f>
        <v>1666.6699999999946</v>
      </c>
      <c r="P115" s="8">
        <f t="shared" si="49"/>
        <v>-1520.6699999999946</v>
      </c>
      <c r="Q115" s="9">
        <f t="shared" si="50"/>
        <v>8.7599824800350681E-2</v>
      </c>
      <c r="R115" s="8">
        <f>(R114)+(0)</f>
        <v>-146</v>
      </c>
      <c r="S115" s="8">
        <f>(S114)+(0)</f>
        <v>1666.6699999999946</v>
      </c>
      <c r="T115" s="8">
        <f t="shared" si="51"/>
        <v>-1812.6699999999946</v>
      </c>
      <c r="U115" s="9">
        <f t="shared" si="52"/>
        <v>-8.7599824800350681E-2</v>
      </c>
      <c r="V115" s="8">
        <f t="shared" si="53"/>
        <v>1515.3999999999978</v>
      </c>
      <c r="W115" s="8">
        <f t="shared" si="54"/>
        <v>8333.3499999999731</v>
      </c>
      <c r="X115" s="8">
        <f t="shared" si="55"/>
        <v>-6817.9499999999753</v>
      </c>
      <c r="Y115" s="9">
        <f t="shared" si="56"/>
        <v>0.18184763630472772</v>
      </c>
    </row>
    <row r="116" spans="1:25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9" spans="1:25" x14ac:dyDescent="0.25">
      <c r="A119" s="10" t="s">
        <v>119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</sheetData>
  <mergeCells count="10">
    <mergeCell ref="V5:Y5"/>
    <mergeCell ref="A119:Y119"/>
    <mergeCell ref="A1:Y1"/>
    <mergeCell ref="A2:Y2"/>
    <mergeCell ref="A3:Y3"/>
    <mergeCell ref="B5:E5"/>
    <mergeCell ref="F5:I5"/>
    <mergeCell ref="J5:M5"/>
    <mergeCell ref="N5:Q5"/>
    <mergeCell ref="R5:U5"/>
  </mergeCells>
  <pageMargins left="0.2" right="0.2" top="0.25" bottom="0.25" header="0.3" footer="0.3"/>
  <pageSetup scale="5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brad Jacokes</cp:lastModifiedBy>
  <cp:lastPrinted>2023-03-06T15:35:21Z</cp:lastPrinted>
  <dcterms:created xsi:type="dcterms:W3CDTF">2023-03-06T15:23:51Z</dcterms:created>
  <dcterms:modified xsi:type="dcterms:W3CDTF">2023-03-06T15:35:30Z</dcterms:modified>
</cp:coreProperties>
</file>