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k\Downloads\"/>
    </mc:Choice>
  </mc:AlternateContent>
  <xr:revisionPtr revIDLastSave="0" documentId="13_ncr:1_{7114C5BA-99AF-473C-9305-76CD405846C4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Budget vs. Actuals" sheetId="1" r:id="rId1"/>
  </sheets>
  <definedNames>
    <definedName name="_xlnm.Print_Titles" localSheetId="0">'Budget vs. Actuals'!$A:$A,'Budget vs. Actuals'!$1:$6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18" i="1" l="1"/>
  <c r="AB118" i="1"/>
  <c r="Z118" i="1"/>
  <c r="S118" i="1"/>
  <c r="U118" i="1" s="1"/>
  <c r="N118" i="1"/>
  <c r="P118" i="1" s="1"/>
  <c r="G118" i="1"/>
  <c r="D118" i="1"/>
  <c r="B118" i="1"/>
  <c r="AK117" i="1"/>
  <c r="AI117" i="1"/>
  <c r="AG117" i="1"/>
  <c r="AD117" i="1"/>
  <c r="AF117" i="1" s="1"/>
  <c r="AC117" i="1"/>
  <c r="AB117" i="1"/>
  <c r="Z117" i="1"/>
  <c r="Y117" i="1"/>
  <c r="V117" i="1"/>
  <c r="X117" i="1" s="1"/>
  <c r="U117" i="1"/>
  <c r="T117" i="1"/>
  <c r="R117" i="1"/>
  <c r="Q117" i="1"/>
  <c r="N117" i="1"/>
  <c r="P117" i="1" s="1"/>
  <c r="M117" i="1"/>
  <c r="L117" i="1"/>
  <c r="J117" i="1"/>
  <c r="I117" i="1"/>
  <c r="F117" i="1"/>
  <c r="E117" i="1"/>
  <c r="D117" i="1"/>
  <c r="B117" i="1"/>
  <c r="AG116" i="1"/>
  <c r="AE116" i="1"/>
  <c r="AD116" i="1"/>
  <c r="AF116" i="1" s="1"/>
  <c r="AC116" i="1"/>
  <c r="AB116" i="1"/>
  <c r="AA116" i="1"/>
  <c r="Z116" i="1"/>
  <c r="W116" i="1"/>
  <c r="Y116" i="1" s="1"/>
  <c r="V116" i="1"/>
  <c r="X116" i="1" s="1"/>
  <c r="U116" i="1"/>
  <c r="S116" i="1"/>
  <c r="R116" i="1"/>
  <c r="T116" i="1" s="1"/>
  <c r="Q116" i="1"/>
  <c r="P116" i="1"/>
  <c r="O116" i="1"/>
  <c r="N116" i="1"/>
  <c r="K116" i="1"/>
  <c r="J116" i="1"/>
  <c r="I116" i="1"/>
  <c r="G116" i="1"/>
  <c r="F116" i="1"/>
  <c r="H116" i="1" s="1"/>
  <c r="E116" i="1"/>
  <c r="D116" i="1"/>
  <c r="C116" i="1"/>
  <c r="B116" i="1"/>
  <c r="AI115" i="1"/>
  <c r="AK115" i="1" s="1"/>
  <c r="AH115" i="1"/>
  <c r="AG115" i="1"/>
  <c r="AE115" i="1"/>
  <c r="AD115" i="1"/>
  <c r="AF115" i="1" s="1"/>
  <c r="AC115" i="1"/>
  <c r="AB115" i="1"/>
  <c r="AA115" i="1"/>
  <c r="AA118" i="1" s="1"/>
  <c r="AC118" i="1" s="1"/>
  <c r="Z115" i="1"/>
  <c r="W115" i="1"/>
  <c r="V115" i="1"/>
  <c r="U115" i="1"/>
  <c r="S115" i="1"/>
  <c r="R115" i="1"/>
  <c r="R118" i="1" s="1"/>
  <c r="T118" i="1" s="1"/>
  <c r="Q115" i="1"/>
  <c r="P115" i="1"/>
  <c r="O115" i="1"/>
  <c r="O118" i="1" s="1"/>
  <c r="N115" i="1"/>
  <c r="K115" i="1"/>
  <c r="J115" i="1"/>
  <c r="I115" i="1"/>
  <c r="G115" i="1"/>
  <c r="F115" i="1"/>
  <c r="H115" i="1" s="1"/>
  <c r="E115" i="1"/>
  <c r="D115" i="1"/>
  <c r="C115" i="1"/>
  <c r="C118" i="1" s="1"/>
  <c r="B115" i="1"/>
  <c r="AI114" i="1"/>
  <c r="AK114" i="1" s="1"/>
  <c r="AH114" i="1"/>
  <c r="AG114" i="1"/>
  <c r="AF114" i="1"/>
  <c r="AC114" i="1"/>
  <c r="AB114" i="1"/>
  <c r="Y114" i="1"/>
  <c r="X114" i="1"/>
  <c r="U114" i="1"/>
  <c r="T114" i="1"/>
  <c r="Q114" i="1"/>
  <c r="P114" i="1"/>
  <c r="M114" i="1"/>
  <c r="L114" i="1"/>
  <c r="I114" i="1"/>
  <c r="H114" i="1"/>
  <c r="E114" i="1"/>
  <c r="D114" i="1"/>
  <c r="AE113" i="1"/>
  <c r="X113" i="1"/>
  <c r="W113" i="1"/>
  <c r="Y113" i="1" s="1"/>
  <c r="V113" i="1"/>
  <c r="S113" i="1"/>
  <c r="K113" i="1"/>
  <c r="AI113" i="1" s="1"/>
  <c r="G113" i="1"/>
  <c r="AI112" i="1"/>
  <c r="AK112" i="1" s="1"/>
  <c r="AG112" i="1"/>
  <c r="AF112" i="1"/>
  <c r="AD112" i="1"/>
  <c r="AC112" i="1"/>
  <c r="Z112" i="1"/>
  <c r="AB112" i="1" s="1"/>
  <c r="Y112" i="1"/>
  <c r="X112" i="1"/>
  <c r="V112" i="1"/>
  <c r="U112" i="1"/>
  <c r="R112" i="1"/>
  <c r="Q112" i="1"/>
  <c r="P112" i="1"/>
  <c r="N112" i="1"/>
  <c r="M112" i="1"/>
  <c r="J112" i="1"/>
  <c r="I112" i="1"/>
  <c r="H112" i="1"/>
  <c r="F112" i="1"/>
  <c r="E112" i="1"/>
  <c r="B112" i="1"/>
  <c r="D112" i="1" s="1"/>
  <c r="AE111" i="1"/>
  <c r="AD111" i="1"/>
  <c r="AB111" i="1"/>
  <c r="AA111" i="1"/>
  <c r="Z111" i="1"/>
  <c r="Y111" i="1"/>
  <c r="X111" i="1"/>
  <c r="W111" i="1"/>
  <c r="V111" i="1"/>
  <c r="T111" i="1"/>
  <c r="S111" i="1"/>
  <c r="R111" i="1"/>
  <c r="U111" i="1" s="1"/>
  <c r="P111" i="1"/>
  <c r="O111" i="1"/>
  <c r="Q111" i="1" s="1"/>
  <c r="N111" i="1"/>
  <c r="M111" i="1"/>
  <c r="L111" i="1"/>
  <c r="K111" i="1"/>
  <c r="J111" i="1"/>
  <c r="G111" i="1"/>
  <c r="F111" i="1"/>
  <c r="I111" i="1" s="1"/>
  <c r="C111" i="1"/>
  <c r="AI111" i="1" s="1"/>
  <c r="B111" i="1"/>
  <c r="AF110" i="1"/>
  <c r="AE110" i="1"/>
  <c r="AD110" i="1"/>
  <c r="AG110" i="1" s="1"/>
  <c r="AB110" i="1"/>
  <c r="AA110" i="1"/>
  <c r="AA113" i="1" s="1"/>
  <c r="Z110" i="1"/>
  <c r="Y110" i="1"/>
  <c r="X110" i="1"/>
  <c r="W110" i="1"/>
  <c r="V110" i="1"/>
  <c r="S110" i="1"/>
  <c r="R110" i="1"/>
  <c r="P110" i="1"/>
  <c r="O110" i="1"/>
  <c r="O113" i="1" s="1"/>
  <c r="N110" i="1"/>
  <c r="M110" i="1"/>
  <c r="L110" i="1"/>
  <c r="K110" i="1"/>
  <c r="J110" i="1"/>
  <c r="H110" i="1"/>
  <c r="G110" i="1"/>
  <c r="F110" i="1"/>
  <c r="C110" i="1"/>
  <c r="C113" i="1" s="1"/>
  <c r="B110" i="1"/>
  <c r="AK109" i="1"/>
  <c r="AJ109" i="1"/>
  <c r="AI109" i="1"/>
  <c r="AH109" i="1"/>
  <c r="AG109" i="1"/>
  <c r="AF109" i="1"/>
  <c r="AC109" i="1"/>
  <c r="AB109" i="1"/>
  <c r="Y109" i="1"/>
  <c r="X109" i="1"/>
  <c r="U109" i="1"/>
  <c r="T109" i="1"/>
  <c r="Q109" i="1"/>
  <c r="P109" i="1"/>
  <c r="M109" i="1"/>
  <c r="L109" i="1"/>
  <c r="I109" i="1"/>
  <c r="H109" i="1"/>
  <c r="E109" i="1"/>
  <c r="D109" i="1"/>
  <c r="AB108" i="1"/>
  <c r="Z108" i="1"/>
  <c r="AC108" i="1" s="1"/>
  <c r="J108" i="1"/>
  <c r="F108" i="1"/>
  <c r="B108" i="1"/>
  <c r="AK107" i="1"/>
  <c r="AI107" i="1"/>
  <c r="AG107" i="1"/>
  <c r="AD107" i="1"/>
  <c r="AF107" i="1" s="1"/>
  <c r="AC107" i="1"/>
  <c r="AB107" i="1"/>
  <c r="Z107" i="1"/>
  <c r="Y107" i="1"/>
  <c r="V107" i="1"/>
  <c r="X107" i="1" s="1"/>
  <c r="U107" i="1"/>
  <c r="T107" i="1"/>
  <c r="R107" i="1"/>
  <c r="Q107" i="1"/>
  <c r="N107" i="1"/>
  <c r="M107" i="1"/>
  <c r="L107" i="1"/>
  <c r="I107" i="1"/>
  <c r="H107" i="1"/>
  <c r="E107" i="1"/>
  <c r="D107" i="1"/>
  <c r="AH106" i="1"/>
  <c r="AF106" i="1"/>
  <c r="AE106" i="1"/>
  <c r="AG106" i="1" s="1"/>
  <c r="AD106" i="1"/>
  <c r="AA106" i="1"/>
  <c r="Z106" i="1"/>
  <c r="AB106" i="1" s="1"/>
  <c r="W106" i="1"/>
  <c r="V106" i="1"/>
  <c r="S106" i="1"/>
  <c r="U106" i="1" s="1"/>
  <c r="R106" i="1"/>
  <c r="T106" i="1" s="1"/>
  <c r="Q106" i="1"/>
  <c r="O106" i="1"/>
  <c r="N106" i="1"/>
  <c r="L106" i="1"/>
  <c r="K106" i="1"/>
  <c r="M106" i="1" s="1"/>
  <c r="G106" i="1"/>
  <c r="D106" i="1"/>
  <c r="C106" i="1"/>
  <c r="AE105" i="1"/>
  <c r="AD105" i="1"/>
  <c r="AB105" i="1"/>
  <c r="AA105" i="1"/>
  <c r="AA108" i="1" s="1"/>
  <c r="Z105" i="1"/>
  <c r="W105" i="1"/>
  <c r="Y105" i="1" s="1"/>
  <c r="V105" i="1"/>
  <c r="S105" i="1"/>
  <c r="R105" i="1"/>
  <c r="Q105" i="1"/>
  <c r="O105" i="1"/>
  <c r="O108" i="1" s="1"/>
  <c r="N105" i="1"/>
  <c r="L105" i="1"/>
  <c r="K105" i="1"/>
  <c r="M105" i="1" s="1"/>
  <c r="I105" i="1"/>
  <c r="H105" i="1"/>
  <c r="G105" i="1"/>
  <c r="D105" i="1"/>
  <c r="C105" i="1"/>
  <c r="AI104" i="1"/>
  <c r="AJ104" i="1" s="1"/>
  <c r="AH104" i="1"/>
  <c r="AG104" i="1"/>
  <c r="AF104" i="1"/>
  <c r="AC104" i="1"/>
  <c r="AB104" i="1"/>
  <c r="Y104" i="1"/>
  <c r="X104" i="1"/>
  <c r="U104" i="1"/>
  <c r="T104" i="1"/>
  <c r="Q104" i="1"/>
  <c r="P104" i="1"/>
  <c r="M104" i="1"/>
  <c r="L104" i="1"/>
  <c r="I104" i="1"/>
  <c r="H104" i="1"/>
  <c r="E104" i="1"/>
  <c r="D104" i="1"/>
  <c r="AE103" i="1"/>
  <c r="G103" i="1"/>
  <c r="I103" i="1" s="1"/>
  <c r="F103" i="1"/>
  <c r="B103" i="1"/>
  <c r="AK102" i="1"/>
  <c r="AI102" i="1"/>
  <c r="AG102" i="1"/>
  <c r="AF102" i="1"/>
  <c r="AD102" i="1"/>
  <c r="AC102" i="1"/>
  <c r="AB102" i="1"/>
  <c r="Z102" i="1"/>
  <c r="Y102" i="1"/>
  <c r="X102" i="1"/>
  <c r="V102" i="1"/>
  <c r="U102" i="1"/>
  <c r="R102" i="1"/>
  <c r="T102" i="1" s="1"/>
  <c r="Q102" i="1"/>
  <c r="P102" i="1"/>
  <c r="N102" i="1"/>
  <c r="AH102" i="1" s="1"/>
  <c r="AJ102" i="1" s="1"/>
  <c r="M102" i="1"/>
  <c r="L102" i="1"/>
  <c r="J102" i="1"/>
  <c r="I102" i="1"/>
  <c r="H102" i="1"/>
  <c r="E102" i="1"/>
  <c r="D102" i="1"/>
  <c r="AE101" i="1"/>
  <c r="AD101" i="1"/>
  <c r="AB101" i="1"/>
  <c r="AA101" i="1"/>
  <c r="AC101" i="1" s="1"/>
  <c r="Z101" i="1"/>
  <c r="W101" i="1"/>
  <c r="V101" i="1"/>
  <c r="S101" i="1"/>
  <c r="U101" i="1" s="1"/>
  <c r="R101" i="1"/>
  <c r="O101" i="1"/>
  <c r="Q101" i="1" s="1"/>
  <c r="N101" i="1"/>
  <c r="P101" i="1" s="1"/>
  <c r="M101" i="1"/>
  <c r="L101" i="1"/>
  <c r="K101" i="1"/>
  <c r="J101" i="1"/>
  <c r="I101" i="1"/>
  <c r="G101" i="1"/>
  <c r="H101" i="1" s="1"/>
  <c r="C101" i="1"/>
  <c r="D101" i="1" s="1"/>
  <c r="AG100" i="1"/>
  <c r="AE100" i="1"/>
  <c r="AF100" i="1" s="1"/>
  <c r="AD100" i="1"/>
  <c r="AD103" i="1" s="1"/>
  <c r="AF103" i="1" s="1"/>
  <c r="AC100" i="1"/>
  <c r="AA100" i="1"/>
  <c r="Z100" i="1"/>
  <c r="X100" i="1"/>
  <c r="W100" i="1"/>
  <c r="W103" i="1" s="1"/>
  <c r="V100" i="1"/>
  <c r="U100" i="1"/>
  <c r="S100" i="1"/>
  <c r="T100" i="1" s="1"/>
  <c r="R100" i="1"/>
  <c r="R103" i="1" s="1"/>
  <c r="Q100" i="1"/>
  <c r="P100" i="1"/>
  <c r="O100" i="1"/>
  <c r="N100" i="1"/>
  <c r="L100" i="1"/>
  <c r="K100" i="1"/>
  <c r="K103" i="1" s="1"/>
  <c r="M103" i="1" s="1"/>
  <c r="J100" i="1"/>
  <c r="J103" i="1" s="1"/>
  <c r="L103" i="1" s="1"/>
  <c r="I100" i="1"/>
  <c r="G100" i="1"/>
  <c r="H100" i="1" s="1"/>
  <c r="D100" i="1"/>
  <c r="C100" i="1"/>
  <c r="AI99" i="1"/>
  <c r="AK99" i="1" s="1"/>
  <c r="AH99" i="1"/>
  <c r="AJ99" i="1" s="1"/>
  <c r="AG99" i="1"/>
  <c r="AF99" i="1"/>
  <c r="AC99" i="1"/>
  <c r="AB99" i="1"/>
  <c r="Y99" i="1"/>
  <c r="X99" i="1"/>
  <c r="U99" i="1"/>
  <c r="T99" i="1"/>
  <c r="Q99" i="1"/>
  <c r="P99" i="1"/>
  <c r="M99" i="1"/>
  <c r="L99" i="1"/>
  <c r="I99" i="1"/>
  <c r="H99" i="1"/>
  <c r="E99" i="1"/>
  <c r="D99" i="1"/>
  <c r="AH98" i="1"/>
  <c r="AD98" i="1"/>
  <c r="AB98" i="1"/>
  <c r="AA98" i="1"/>
  <c r="AC98" i="1" s="1"/>
  <c r="Z98" i="1"/>
  <c r="V98" i="1"/>
  <c r="S98" i="1"/>
  <c r="R98" i="1"/>
  <c r="N98" i="1"/>
  <c r="J98" i="1"/>
  <c r="G98" i="1"/>
  <c r="I98" i="1" s="1"/>
  <c r="F98" i="1"/>
  <c r="B98" i="1"/>
  <c r="AH97" i="1"/>
  <c r="AE97" i="1"/>
  <c r="AC97" i="1"/>
  <c r="AB97" i="1"/>
  <c r="AA97" i="1"/>
  <c r="W97" i="1"/>
  <c r="X97" i="1" s="1"/>
  <c r="T97" i="1"/>
  <c r="S97" i="1"/>
  <c r="U97" i="1" s="1"/>
  <c r="Q97" i="1"/>
  <c r="O97" i="1"/>
  <c r="P97" i="1" s="1"/>
  <c r="K97" i="1"/>
  <c r="K98" i="1" s="1"/>
  <c r="M98" i="1" s="1"/>
  <c r="H97" i="1"/>
  <c r="G97" i="1"/>
  <c r="I97" i="1" s="1"/>
  <c r="D97" i="1"/>
  <c r="C97" i="1"/>
  <c r="AH96" i="1"/>
  <c r="AG96" i="1"/>
  <c r="AE96" i="1"/>
  <c r="AC96" i="1"/>
  <c r="AB96" i="1"/>
  <c r="AA96" i="1"/>
  <c r="Y96" i="1"/>
  <c r="X96" i="1"/>
  <c r="W96" i="1"/>
  <c r="U96" i="1"/>
  <c r="S96" i="1"/>
  <c r="T96" i="1" s="1"/>
  <c r="Q96" i="1"/>
  <c r="P96" i="1"/>
  <c r="O96" i="1"/>
  <c r="O98" i="1" s="1"/>
  <c r="Q98" i="1" s="1"/>
  <c r="M96" i="1"/>
  <c r="L96" i="1"/>
  <c r="K96" i="1"/>
  <c r="I96" i="1"/>
  <c r="H96" i="1"/>
  <c r="G96" i="1"/>
  <c r="E96" i="1"/>
  <c r="C96" i="1"/>
  <c r="AI95" i="1"/>
  <c r="AH95" i="1"/>
  <c r="AG95" i="1"/>
  <c r="AF95" i="1"/>
  <c r="AC95" i="1"/>
  <c r="AB95" i="1"/>
  <c r="Y95" i="1"/>
  <c r="X95" i="1"/>
  <c r="U95" i="1"/>
  <c r="T95" i="1"/>
  <c r="Q95" i="1"/>
  <c r="P95" i="1"/>
  <c r="M95" i="1"/>
  <c r="L95" i="1"/>
  <c r="I95" i="1"/>
  <c r="H95" i="1"/>
  <c r="E95" i="1"/>
  <c r="D95" i="1"/>
  <c r="S94" i="1"/>
  <c r="O94" i="1"/>
  <c r="B94" i="1"/>
  <c r="AI93" i="1"/>
  <c r="AK93" i="1" s="1"/>
  <c r="AG93" i="1"/>
  <c r="AD93" i="1"/>
  <c r="AF93" i="1" s="1"/>
  <c r="AC93" i="1"/>
  <c r="AB93" i="1"/>
  <c r="Z93" i="1"/>
  <c r="Y93" i="1"/>
  <c r="X93" i="1"/>
  <c r="V93" i="1"/>
  <c r="U93" i="1"/>
  <c r="T93" i="1"/>
  <c r="R93" i="1"/>
  <c r="Q93" i="1"/>
  <c r="N93" i="1"/>
  <c r="P93" i="1" s="1"/>
  <c r="M93" i="1"/>
  <c r="L93" i="1"/>
  <c r="J93" i="1"/>
  <c r="I93" i="1"/>
  <c r="H93" i="1"/>
  <c r="F93" i="1"/>
  <c r="E93" i="1"/>
  <c r="D93" i="1"/>
  <c r="B93" i="1"/>
  <c r="AH93" i="1" s="1"/>
  <c r="AJ93" i="1" s="1"/>
  <c r="AG92" i="1"/>
  <c r="AE92" i="1"/>
  <c r="AE94" i="1" s="1"/>
  <c r="AD92" i="1"/>
  <c r="AA92" i="1"/>
  <c r="AC92" i="1" s="1"/>
  <c r="Z92" i="1"/>
  <c r="Y92" i="1"/>
  <c r="X92" i="1"/>
  <c r="W92" i="1"/>
  <c r="V92" i="1"/>
  <c r="S92" i="1"/>
  <c r="R92" i="1"/>
  <c r="T92" i="1" s="1"/>
  <c r="P92" i="1"/>
  <c r="O92" i="1"/>
  <c r="N92" i="1"/>
  <c r="Q92" i="1" s="1"/>
  <c r="M92" i="1"/>
  <c r="K92" i="1"/>
  <c r="L92" i="1" s="1"/>
  <c r="J92" i="1"/>
  <c r="G92" i="1"/>
  <c r="F92" i="1"/>
  <c r="E92" i="1"/>
  <c r="C92" i="1"/>
  <c r="B92" i="1"/>
  <c r="AH91" i="1"/>
  <c r="AE91" i="1"/>
  <c r="AD91" i="1"/>
  <c r="AA91" i="1"/>
  <c r="AA94" i="1" s="1"/>
  <c r="Z91" i="1"/>
  <c r="Z94" i="1" s="1"/>
  <c r="AB94" i="1" s="1"/>
  <c r="X91" i="1"/>
  <c r="W91" i="1"/>
  <c r="Y91" i="1" s="1"/>
  <c r="V91" i="1"/>
  <c r="V94" i="1" s="1"/>
  <c r="U91" i="1"/>
  <c r="S91" i="1"/>
  <c r="R91" i="1"/>
  <c r="T91" i="1" s="1"/>
  <c r="P91" i="1"/>
  <c r="O91" i="1"/>
  <c r="Q91" i="1" s="1"/>
  <c r="N91" i="1"/>
  <c r="K91" i="1"/>
  <c r="J91" i="1"/>
  <c r="G91" i="1"/>
  <c r="I91" i="1" s="1"/>
  <c r="F91" i="1"/>
  <c r="C91" i="1"/>
  <c r="B91" i="1"/>
  <c r="D91" i="1" s="1"/>
  <c r="AK90" i="1"/>
  <c r="AJ90" i="1"/>
  <c r="AI90" i="1"/>
  <c r="AH90" i="1"/>
  <c r="AG90" i="1"/>
  <c r="AF90" i="1"/>
  <c r="AC90" i="1"/>
  <c r="AB90" i="1"/>
  <c r="Y90" i="1"/>
  <c r="X90" i="1"/>
  <c r="U90" i="1"/>
  <c r="T90" i="1"/>
  <c r="Q90" i="1"/>
  <c r="P90" i="1"/>
  <c r="M90" i="1"/>
  <c r="L90" i="1"/>
  <c r="I90" i="1"/>
  <c r="H90" i="1"/>
  <c r="E90" i="1"/>
  <c r="D90" i="1"/>
  <c r="AA89" i="1"/>
  <c r="W89" i="1"/>
  <c r="V89" i="1"/>
  <c r="X89" i="1" s="1"/>
  <c r="U89" i="1"/>
  <c r="R89" i="1"/>
  <c r="Q89" i="1"/>
  <c r="O89" i="1"/>
  <c r="N89" i="1"/>
  <c r="K89" i="1"/>
  <c r="J89" i="1"/>
  <c r="L89" i="1" s="1"/>
  <c r="F89" i="1"/>
  <c r="C89" i="1"/>
  <c r="E89" i="1" s="1"/>
  <c r="B89" i="1"/>
  <c r="AK88" i="1"/>
  <c r="AI88" i="1"/>
  <c r="AG88" i="1"/>
  <c r="AD88" i="1"/>
  <c r="AF88" i="1" s="1"/>
  <c r="AC88" i="1"/>
  <c r="AB88" i="1"/>
  <c r="Z88" i="1"/>
  <c r="Y88" i="1"/>
  <c r="X88" i="1"/>
  <c r="U88" i="1"/>
  <c r="T88" i="1"/>
  <c r="Q88" i="1"/>
  <c r="P88" i="1"/>
  <c r="M88" i="1"/>
  <c r="L88" i="1"/>
  <c r="I88" i="1"/>
  <c r="F88" i="1"/>
  <c r="E88" i="1"/>
  <c r="D88" i="1"/>
  <c r="AI87" i="1"/>
  <c r="AE87" i="1"/>
  <c r="AD87" i="1"/>
  <c r="AF87" i="1" s="1"/>
  <c r="AB87" i="1"/>
  <c r="AA87" i="1"/>
  <c r="Z87" i="1"/>
  <c r="AC87" i="1" s="1"/>
  <c r="Y87" i="1"/>
  <c r="W87" i="1"/>
  <c r="X87" i="1" s="1"/>
  <c r="S87" i="1"/>
  <c r="Q87" i="1"/>
  <c r="P87" i="1"/>
  <c r="O87" i="1"/>
  <c r="M87" i="1"/>
  <c r="K87" i="1"/>
  <c r="L87" i="1" s="1"/>
  <c r="I87" i="1"/>
  <c r="H87" i="1"/>
  <c r="G87" i="1"/>
  <c r="F87" i="1"/>
  <c r="C87" i="1"/>
  <c r="AE86" i="1"/>
  <c r="AD86" i="1"/>
  <c r="AC86" i="1"/>
  <c r="AB86" i="1"/>
  <c r="AA86" i="1"/>
  <c r="Z86" i="1"/>
  <c r="Y86" i="1"/>
  <c r="W86" i="1"/>
  <c r="X86" i="1" s="1"/>
  <c r="S86" i="1"/>
  <c r="S89" i="1" s="1"/>
  <c r="T89" i="1" s="1"/>
  <c r="O86" i="1"/>
  <c r="Q86" i="1" s="1"/>
  <c r="M86" i="1"/>
  <c r="L86" i="1"/>
  <c r="K86" i="1"/>
  <c r="G86" i="1"/>
  <c r="F86" i="1"/>
  <c r="E86" i="1"/>
  <c r="D86" i="1"/>
  <c r="C86" i="1"/>
  <c r="AK85" i="1"/>
  <c r="AI85" i="1"/>
  <c r="AH85" i="1"/>
  <c r="AJ85" i="1" s="1"/>
  <c r="AG85" i="1"/>
  <c r="AF85" i="1"/>
  <c r="AC85" i="1"/>
  <c r="AB85" i="1"/>
  <c r="Y85" i="1"/>
  <c r="X85" i="1"/>
  <c r="U85" i="1"/>
  <c r="T85" i="1"/>
  <c r="Q85" i="1"/>
  <c r="P85" i="1"/>
  <c r="M85" i="1"/>
  <c r="L85" i="1"/>
  <c r="I85" i="1"/>
  <c r="H85" i="1"/>
  <c r="E85" i="1"/>
  <c r="D85" i="1"/>
  <c r="AE84" i="1"/>
  <c r="AG84" i="1" s="1"/>
  <c r="AD84" i="1"/>
  <c r="AF84" i="1" s="1"/>
  <c r="AC84" i="1"/>
  <c r="AA84" i="1"/>
  <c r="Z84" i="1"/>
  <c r="AB84" i="1" s="1"/>
  <c r="W84" i="1"/>
  <c r="Y84" i="1" s="1"/>
  <c r="S84" i="1"/>
  <c r="U84" i="1" s="1"/>
  <c r="Q84" i="1"/>
  <c r="P84" i="1"/>
  <c r="O84" i="1"/>
  <c r="N84" i="1"/>
  <c r="K84" i="1"/>
  <c r="M84" i="1" s="1"/>
  <c r="J84" i="1"/>
  <c r="L84" i="1" s="1"/>
  <c r="I84" i="1"/>
  <c r="G84" i="1"/>
  <c r="F84" i="1"/>
  <c r="H84" i="1" s="1"/>
  <c r="E84" i="1"/>
  <c r="D84" i="1"/>
  <c r="C84" i="1"/>
  <c r="B84" i="1"/>
  <c r="AI83" i="1"/>
  <c r="AK83" i="1" s="1"/>
  <c r="AG83" i="1"/>
  <c r="AF83" i="1"/>
  <c r="AC83" i="1"/>
  <c r="AB83" i="1"/>
  <c r="Y83" i="1"/>
  <c r="X83" i="1"/>
  <c r="V83" i="1"/>
  <c r="AH83" i="1" s="1"/>
  <c r="AJ83" i="1" s="1"/>
  <c r="U83" i="1"/>
  <c r="R83" i="1"/>
  <c r="T83" i="1" s="1"/>
  <c r="Q83" i="1"/>
  <c r="P83" i="1"/>
  <c r="M83" i="1"/>
  <c r="L83" i="1"/>
  <c r="I83" i="1"/>
  <c r="H83" i="1"/>
  <c r="E83" i="1"/>
  <c r="D83" i="1"/>
  <c r="AK82" i="1"/>
  <c r="AI82" i="1"/>
  <c r="AG82" i="1"/>
  <c r="AF82" i="1"/>
  <c r="AC82" i="1"/>
  <c r="AB82" i="1"/>
  <c r="Y82" i="1"/>
  <c r="X82" i="1"/>
  <c r="V82" i="1"/>
  <c r="U82" i="1"/>
  <c r="R82" i="1"/>
  <c r="Q82" i="1"/>
  <c r="P82" i="1"/>
  <c r="M82" i="1"/>
  <c r="L82" i="1"/>
  <c r="I82" i="1"/>
  <c r="H82" i="1"/>
  <c r="E82" i="1"/>
  <c r="D82" i="1"/>
  <c r="AI81" i="1"/>
  <c r="AK81" i="1" s="1"/>
  <c r="AG81" i="1"/>
  <c r="AF81" i="1"/>
  <c r="AC81" i="1"/>
  <c r="AB81" i="1"/>
  <c r="Y81" i="1"/>
  <c r="X81" i="1"/>
  <c r="V81" i="1"/>
  <c r="U81" i="1"/>
  <c r="R81" i="1"/>
  <c r="Q81" i="1"/>
  <c r="P81" i="1"/>
  <c r="M81" i="1"/>
  <c r="L81" i="1"/>
  <c r="I81" i="1"/>
  <c r="H81" i="1"/>
  <c r="E81" i="1"/>
  <c r="D81" i="1"/>
  <c r="AK80" i="1"/>
  <c r="AI80" i="1"/>
  <c r="AH80" i="1"/>
  <c r="AJ80" i="1" s="1"/>
  <c r="AG80" i="1"/>
  <c r="AF80" i="1"/>
  <c r="AC80" i="1"/>
  <c r="AB80" i="1"/>
  <c r="Y80" i="1"/>
  <c r="X80" i="1"/>
  <c r="U80" i="1"/>
  <c r="T80" i="1"/>
  <c r="Q80" i="1"/>
  <c r="P80" i="1"/>
  <c r="M80" i="1"/>
  <c r="L80" i="1"/>
  <c r="I80" i="1"/>
  <c r="H80" i="1"/>
  <c r="E80" i="1"/>
  <c r="D80" i="1"/>
  <c r="AE79" i="1"/>
  <c r="Z79" i="1"/>
  <c r="AC79" i="1" s="1"/>
  <c r="S79" i="1"/>
  <c r="Q79" i="1"/>
  <c r="N79" i="1"/>
  <c r="P79" i="1" s="1"/>
  <c r="J79" i="1"/>
  <c r="G79" i="1"/>
  <c r="B79" i="1"/>
  <c r="AK78" i="1"/>
  <c r="AI78" i="1"/>
  <c r="AG78" i="1"/>
  <c r="AF78" i="1"/>
  <c r="AD78" i="1"/>
  <c r="AC78" i="1"/>
  <c r="AB78" i="1"/>
  <c r="Z78" i="1"/>
  <c r="Y78" i="1"/>
  <c r="V78" i="1"/>
  <c r="U78" i="1"/>
  <c r="R78" i="1"/>
  <c r="T78" i="1" s="1"/>
  <c r="Q78" i="1"/>
  <c r="P78" i="1"/>
  <c r="N78" i="1"/>
  <c r="M78" i="1"/>
  <c r="L78" i="1"/>
  <c r="J78" i="1"/>
  <c r="I78" i="1"/>
  <c r="F78" i="1"/>
  <c r="H78" i="1" s="1"/>
  <c r="E78" i="1"/>
  <c r="B78" i="1"/>
  <c r="D78" i="1" s="1"/>
  <c r="AE77" i="1"/>
  <c r="AD77" i="1"/>
  <c r="AF77" i="1" s="1"/>
  <c r="AC77" i="1"/>
  <c r="AB77" i="1"/>
  <c r="AA77" i="1"/>
  <c r="Z77" i="1"/>
  <c r="Y77" i="1"/>
  <c r="X77" i="1"/>
  <c r="W77" i="1"/>
  <c r="V77" i="1"/>
  <c r="U77" i="1"/>
  <c r="S77" i="1"/>
  <c r="R77" i="1"/>
  <c r="T77" i="1" s="1"/>
  <c r="Q77" i="1"/>
  <c r="P77" i="1"/>
  <c r="O77" i="1"/>
  <c r="N77" i="1"/>
  <c r="K77" i="1"/>
  <c r="L77" i="1" s="1"/>
  <c r="J77" i="1"/>
  <c r="G77" i="1"/>
  <c r="F77" i="1"/>
  <c r="H77" i="1" s="1"/>
  <c r="E77" i="1"/>
  <c r="D77" i="1"/>
  <c r="C77" i="1"/>
  <c r="B77" i="1"/>
  <c r="AH77" i="1" s="1"/>
  <c r="AG76" i="1"/>
  <c r="AE76" i="1"/>
  <c r="AD76" i="1"/>
  <c r="AF76" i="1" s="1"/>
  <c r="AC76" i="1"/>
  <c r="AB76" i="1"/>
  <c r="AA76" i="1"/>
  <c r="AA79" i="1" s="1"/>
  <c r="Z76" i="1"/>
  <c r="Y76" i="1"/>
  <c r="X76" i="1"/>
  <c r="W76" i="1"/>
  <c r="W79" i="1" s="1"/>
  <c r="V76" i="1"/>
  <c r="U76" i="1"/>
  <c r="S76" i="1"/>
  <c r="R76" i="1"/>
  <c r="Q76" i="1"/>
  <c r="P76" i="1"/>
  <c r="O76" i="1"/>
  <c r="O79" i="1" s="1"/>
  <c r="N76" i="1"/>
  <c r="L76" i="1"/>
  <c r="K76" i="1"/>
  <c r="AI76" i="1" s="1"/>
  <c r="J76" i="1"/>
  <c r="G76" i="1"/>
  <c r="F76" i="1"/>
  <c r="E76" i="1"/>
  <c r="D76" i="1"/>
  <c r="C76" i="1"/>
  <c r="C79" i="1" s="1"/>
  <c r="B76" i="1"/>
  <c r="AI75" i="1"/>
  <c r="AH75" i="1"/>
  <c r="AG75" i="1"/>
  <c r="AF75" i="1"/>
  <c r="AC75" i="1"/>
  <c r="AB75" i="1"/>
  <c r="Y75" i="1"/>
  <c r="X75" i="1"/>
  <c r="U75" i="1"/>
  <c r="T75" i="1"/>
  <c r="Q75" i="1"/>
  <c r="P75" i="1"/>
  <c r="M75" i="1"/>
  <c r="L75" i="1"/>
  <c r="I75" i="1"/>
  <c r="H75" i="1"/>
  <c r="E75" i="1"/>
  <c r="D75" i="1"/>
  <c r="AE74" i="1"/>
  <c r="W74" i="1"/>
  <c r="S74" i="1"/>
  <c r="U74" i="1" s="1"/>
  <c r="R74" i="1"/>
  <c r="T74" i="1" s="1"/>
  <c r="K74" i="1"/>
  <c r="G74" i="1"/>
  <c r="AI73" i="1"/>
  <c r="AK73" i="1" s="1"/>
  <c r="AG73" i="1"/>
  <c r="AD73" i="1"/>
  <c r="AF73" i="1" s="1"/>
  <c r="AC73" i="1"/>
  <c r="Z73" i="1"/>
  <c r="Y73" i="1"/>
  <c r="X73" i="1"/>
  <c r="V73" i="1"/>
  <c r="U73" i="1"/>
  <c r="R73" i="1"/>
  <c r="T73" i="1" s="1"/>
  <c r="Q73" i="1"/>
  <c r="N73" i="1"/>
  <c r="P73" i="1" s="1"/>
  <c r="M73" i="1"/>
  <c r="J73" i="1"/>
  <c r="L73" i="1" s="1"/>
  <c r="I73" i="1"/>
  <c r="H73" i="1"/>
  <c r="F73" i="1"/>
  <c r="E73" i="1"/>
  <c r="B73" i="1"/>
  <c r="B74" i="1" s="1"/>
  <c r="AE72" i="1"/>
  <c r="AD72" i="1"/>
  <c r="AG72" i="1" s="1"/>
  <c r="AB72" i="1"/>
  <c r="AA72" i="1"/>
  <c r="AC72" i="1" s="1"/>
  <c r="Z72" i="1"/>
  <c r="W72" i="1"/>
  <c r="V72" i="1"/>
  <c r="U72" i="1"/>
  <c r="T72" i="1"/>
  <c r="S72" i="1"/>
  <c r="R72" i="1"/>
  <c r="O72" i="1"/>
  <c r="N72" i="1"/>
  <c r="P72" i="1" s="1"/>
  <c r="M72" i="1"/>
  <c r="K72" i="1"/>
  <c r="J72" i="1"/>
  <c r="L72" i="1" s="1"/>
  <c r="I72" i="1"/>
  <c r="H72" i="1"/>
  <c r="G72" i="1"/>
  <c r="F72" i="1"/>
  <c r="AH72" i="1" s="1"/>
  <c r="D72" i="1"/>
  <c r="C72" i="1"/>
  <c r="B72" i="1"/>
  <c r="AE71" i="1"/>
  <c r="AD71" i="1"/>
  <c r="AA71" i="1"/>
  <c r="Z71" i="1"/>
  <c r="Y71" i="1"/>
  <c r="W71" i="1"/>
  <c r="V71" i="1"/>
  <c r="U71" i="1"/>
  <c r="T71" i="1"/>
  <c r="S71" i="1"/>
  <c r="R71" i="1"/>
  <c r="O71" i="1"/>
  <c r="N71" i="1"/>
  <c r="M71" i="1"/>
  <c r="K71" i="1"/>
  <c r="J71" i="1"/>
  <c r="L71" i="1" s="1"/>
  <c r="G71" i="1"/>
  <c r="F71" i="1"/>
  <c r="D71" i="1"/>
  <c r="C71" i="1"/>
  <c r="B71" i="1"/>
  <c r="AK70" i="1"/>
  <c r="AI70" i="1"/>
  <c r="AH70" i="1"/>
  <c r="AJ70" i="1" s="1"/>
  <c r="AG70" i="1"/>
  <c r="AF70" i="1"/>
  <c r="AC70" i="1"/>
  <c r="AB70" i="1"/>
  <c r="Y70" i="1"/>
  <c r="X70" i="1"/>
  <c r="U70" i="1"/>
  <c r="T70" i="1"/>
  <c r="Q70" i="1"/>
  <c r="P70" i="1"/>
  <c r="M70" i="1"/>
  <c r="L70" i="1"/>
  <c r="I70" i="1"/>
  <c r="H70" i="1"/>
  <c r="E70" i="1"/>
  <c r="D70" i="1"/>
  <c r="AE69" i="1"/>
  <c r="AD69" i="1"/>
  <c r="Z69" i="1"/>
  <c r="S69" i="1"/>
  <c r="M69" i="1"/>
  <c r="G69" i="1"/>
  <c r="B69" i="1"/>
  <c r="D69" i="1" s="1"/>
  <c r="AK68" i="1"/>
  <c r="AI68" i="1"/>
  <c r="AG68" i="1"/>
  <c r="AF68" i="1"/>
  <c r="AD68" i="1"/>
  <c r="AC68" i="1"/>
  <c r="AB68" i="1"/>
  <c r="Z68" i="1"/>
  <c r="Y68" i="1"/>
  <c r="V68" i="1"/>
  <c r="X68" i="1" s="1"/>
  <c r="U68" i="1"/>
  <c r="T68" i="1"/>
  <c r="R68" i="1"/>
  <c r="Q68" i="1"/>
  <c r="P68" i="1"/>
  <c r="N68" i="1"/>
  <c r="N69" i="1" s="1"/>
  <c r="M68" i="1"/>
  <c r="L68" i="1"/>
  <c r="J68" i="1"/>
  <c r="I68" i="1"/>
  <c r="F68" i="1"/>
  <c r="H68" i="1" s="1"/>
  <c r="E68" i="1"/>
  <c r="D68" i="1"/>
  <c r="B68" i="1"/>
  <c r="AI67" i="1"/>
  <c r="AE67" i="1"/>
  <c r="AD67" i="1"/>
  <c r="AA67" i="1"/>
  <c r="Z67" i="1"/>
  <c r="W67" i="1"/>
  <c r="Y67" i="1" s="1"/>
  <c r="V67" i="1"/>
  <c r="S67" i="1"/>
  <c r="R67" i="1"/>
  <c r="Q67" i="1"/>
  <c r="P67" i="1"/>
  <c r="O67" i="1"/>
  <c r="N67" i="1"/>
  <c r="M67" i="1"/>
  <c r="L67" i="1"/>
  <c r="K67" i="1"/>
  <c r="J67" i="1"/>
  <c r="J69" i="1" s="1"/>
  <c r="L69" i="1" s="1"/>
  <c r="G67" i="1"/>
  <c r="F67" i="1"/>
  <c r="E67" i="1"/>
  <c r="D67" i="1"/>
  <c r="C67" i="1"/>
  <c r="B67" i="1"/>
  <c r="AE66" i="1"/>
  <c r="AD66" i="1"/>
  <c r="AC66" i="1"/>
  <c r="AA66" i="1"/>
  <c r="Z66" i="1"/>
  <c r="W66" i="1"/>
  <c r="W69" i="1" s="1"/>
  <c r="V66" i="1"/>
  <c r="Y66" i="1" s="1"/>
  <c r="S66" i="1"/>
  <c r="R66" i="1"/>
  <c r="O66" i="1"/>
  <c r="N66" i="1"/>
  <c r="M66" i="1"/>
  <c r="L66" i="1"/>
  <c r="K66" i="1"/>
  <c r="K69" i="1" s="1"/>
  <c r="J66" i="1"/>
  <c r="G66" i="1"/>
  <c r="F66" i="1"/>
  <c r="E66" i="1"/>
  <c r="C66" i="1"/>
  <c r="C69" i="1" s="1"/>
  <c r="B66" i="1"/>
  <c r="AK65" i="1"/>
  <c r="AJ65" i="1"/>
  <c r="AI65" i="1"/>
  <c r="AH65" i="1"/>
  <c r="AG65" i="1"/>
  <c r="AF65" i="1"/>
  <c r="AC65" i="1"/>
  <c r="AB65" i="1"/>
  <c r="Y65" i="1"/>
  <c r="X65" i="1"/>
  <c r="U65" i="1"/>
  <c r="T65" i="1"/>
  <c r="Q65" i="1"/>
  <c r="P65" i="1"/>
  <c r="M65" i="1"/>
  <c r="L65" i="1"/>
  <c r="I65" i="1"/>
  <c r="H65" i="1"/>
  <c r="E65" i="1"/>
  <c r="D65" i="1"/>
  <c r="AE64" i="1"/>
  <c r="W64" i="1"/>
  <c r="S64" i="1"/>
  <c r="K64" i="1"/>
  <c r="J64" i="1"/>
  <c r="L64" i="1" s="1"/>
  <c r="G64" i="1"/>
  <c r="B64" i="1"/>
  <c r="AK63" i="1"/>
  <c r="AI63" i="1"/>
  <c r="AG63" i="1"/>
  <c r="AF63" i="1"/>
  <c r="AD63" i="1"/>
  <c r="AC63" i="1"/>
  <c r="AB63" i="1"/>
  <c r="Z63" i="1"/>
  <c r="Y63" i="1"/>
  <c r="X63" i="1"/>
  <c r="V63" i="1"/>
  <c r="U63" i="1"/>
  <c r="T63" i="1"/>
  <c r="R63" i="1"/>
  <c r="Q63" i="1"/>
  <c r="P63" i="1"/>
  <c r="N63" i="1"/>
  <c r="M63" i="1"/>
  <c r="L63" i="1"/>
  <c r="J63" i="1"/>
  <c r="I63" i="1"/>
  <c r="H63" i="1"/>
  <c r="F63" i="1"/>
  <c r="E63" i="1"/>
  <c r="D63" i="1"/>
  <c r="B63" i="1"/>
  <c r="AF62" i="1"/>
  <c r="AE62" i="1"/>
  <c r="AD62" i="1"/>
  <c r="AG62" i="1" s="1"/>
  <c r="AC62" i="1"/>
  <c r="AB62" i="1"/>
  <c r="AA62" i="1"/>
  <c r="Z62" i="1"/>
  <c r="W62" i="1"/>
  <c r="V62" i="1"/>
  <c r="T62" i="1"/>
  <c r="S62" i="1"/>
  <c r="R62" i="1"/>
  <c r="U62" i="1" s="1"/>
  <c r="Q62" i="1"/>
  <c r="P62" i="1"/>
  <c r="O62" i="1"/>
  <c r="N62" i="1"/>
  <c r="K62" i="1"/>
  <c r="J62" i="1"/>
  <c r="G62" i="1"/>
  <c r="F62" i="1"/>
  <c r="I62" i="1" s="1"/>
  <c r="E62" i="1"/>
  <c r="D62" i="1"/>
  <c r="C62" i="1"/>
  <c r="AI62" i="1" s="1"/>
  <c r="B62" i="1"/>
  <c r="AH61" i="1"/>
  <c r="AG61" i="1"/>
  <c r="AE61" i="1"/>
  <c r="AD61" i="1"/>
  <c r="AF61" i="1" s="1"/>
  <c r="AA61" i="1"/>
  <c r="AA64" i="1" s="1"/>
  <c r="AC64" i="1" s="1"/>
  <c r="Z61" i="1"/>
  <c r="Z64" i="1" s="1"/>
  <c r="W61" i="1"/>
  <c r="V61" i="1"/>
  <c r="S61" i="1"/>
  <c r="R61" i="1"/>
  <c r="Q61" i="1"/>
  <c r="O61" i="1"/>
  <c r="O64" i="1" s="1"/>
  <c r="Q64" i="1" s="1"/>
  <c r="N61" i="1"/>
  <c r="N64" i="1" s="1"/>
  <c r="P64" i="1" s="1"/>
  <c r="K61" i="1"/>
  <c r="J61" i="1"/>
  <c r="I61" i="1"/>
  <c r="G61" i="1"/>
  <c r="F61" i="1"/>
  <c r="H61" i="1" s="1"/>
  <c r="D61" i="1"/>
  <c r="C61" i="1"/>
  <c r="B61" i="1"/>
  <c r="AK60" i="1"/>
  <c r="AI60" i="1"/>
  <c r="AH60" i="1"/>
  <c r="AJ60" i="1" s="1"/>
  <c r="AG60" i="1"/>
  <c r="AF60" i="1"/>
  <c r="AC60" i="1"/>
  <c r="AB60" i="1"/>
  <c r="Y60" i="1"/>
  <c r="X60" i="1"/>
  <c r="U60" i="1"/>
  <c r="T60" i="1"/>
  <c r="Q60" i="1"/>
  <c r="P60" i="1"/>
  <c r="M60" i="1"/>
  <c r="L60" i="1"/>
  <c r="I60" i="1"/>
  <c r="H60" i="1"/>
  <c r="E60" i="1"/>
  <c r="D60" i="1"/>
  <c r="AE59" i="1"/>
  <c r="Z59" i="1"/>
  <c r="W59" i="1"/>
  <c r="S59" i="1"/>
  <c r="J59" i="1"/>
  <c r="G59" i="1"/>
  <c r="AK58" i="1"/>
  <c r="AI58" i="1"/>
  <c r="AG58" i="1"/>
  <c r="AD58" i="1"/>
  <c r="AF58" i="1" s="1"/>
  <c r="AC58" i="1"/>
  <c r="AB58" i="1"/>
  <c r="Z58" i="1"/>
  <c r="Y58" i="1"/>
  <c r="V58" i="1"/>
  <c r="X58" i="1" s="1"/>
  <c r="U58" i="1"/>
  <c r="R58" i="1"/>
  <c r="T58" i="1" s="1"/>
  <c r="Q58" i="1"/>
  <c r="N58" i="1"/>
  <c r="P58" i="1" s="1"/>
  <c r="M58" i="1"/>
  <c r="L58" i="1"/>
  <c r="J58" i="1"/>
  <c r="I58" i="1"/>
  <c r="F58" i="1"/>
  <c r="H58" i="1" s="1"/>
  <c r="E58" i="1"/>
  <c r="B58" i="1"/>
  <c r="D58" i="1" s="1"/>
  <c r="AG57" i="1"/>
  <c r="AE57" i="1"/>
  <c r="AD57" i="1"/>
  <c r="AF57" i="1" s="1"/>
  <c r="AB57" i="1"/>
  <c r="AA57" i="1"/>
  <c r="AC57" i="1" s="1"/>
  <c r="Z57" i="1"/>
  <c r="W57" i="1"/>
  <c r="V57" i="1"/>
  <c r="Y57" i="1" s="1"/>
  <c r="U57" i="1"/>
  <c r="S57" i="1"/>
  <c r="R57" i="1"/>
  <c r="T57" i="1" s="1"/>
  <c r="O57" i="1"/>
  <c r="N57" i="1"/>
  <c r="K57" i="1"/>
  <c r="J57" i="1"/>
  <c r="I57" i="1"/>
  <c r="G57" i="1"/>
  <c r="F57" i="1"/>
  <c r="H57" i="1" s="1"/>
  <c r="C57" i="1"/>
  <c r="E57" i="1" s="1"/>
  <c r="B57" i="1"/>
  <c r="AI56" i="1"/>
  <c r="AE56" i="1"/>
  <c r="AD56" i="1"/>
  <c r="AF56" i="1" s="1"/>
  <c r="AC56" i="1"/>
  <c r="AA56" i="1"/>
  <c r="Z56" i="1"/>
  <c r="AB56" i="1" s="1"/>
  <c r="Y56" i="1"/>
  <c r="X56" i="1"/>
  <c r="W56" i="1"/>
  <c r="V56" i="1"/>
  <c r="S56" i="1"/>
  <c r="R56" i="1"/>
  <c r="Q56" i="1"/>
  <c r="P56" i="1"/>
  <c r="O56" i="1"/>
  <c r="N56" i="1"/>
  <c r="L56" i="1"/>
  <c r="K56" i="1"/>
  <c r="M56" i="1" s="1"/>
  <c r="J56" i="1"/>
  <c r="I56" i="1"/>
  <c r="G56" i="1"/>
  <c r="F56" i="1"/>
  <c r="E56" i="1"/>
  <c r="D56" i="1"/>
  <c r="C56" i="1"/>
  <c r="C59" i="1" s="1"/>
  <c r="B56" i="1"/>
  <c r="AI55" i="1"/>
  <c r="AK55" i="1" s="1"/>
  <c r="AH55" i="1"/>
  <c r="AJ55" i="1" s="1"/>
  <c r="AG55" i="1"/>
  <c r="AF55" i="1"/>
  <c r="AC55" i="1"/>
  <c r="AB55" i="1"/>
  <c r="Y55" i="1"/>
  <c r="X55" i="1"/>
  <c r="U55" i="1"/>
  <c r="T55" i="1"/>
  <c r="Q55" i="1"/>
  <c r="P55" i="1"/>
  <c r="M55" i="1"/>
  <c r="L55" i="1"/>
  <c r="I55" i="1"/>
  <c r="H55" i="1"/>
  <c r="E55" i="1"/>
  <c r="D55" i="1"/>
  <c r="AE54" i="1"/>
  <c r="AD54" i="1"/>
  <c r="AF54" i="1" s="1"/>
  <c r="Y54" i="1"/>
  <c r="W54" i="1"/>
  <c r="V54" i="1"/>
  <c r="X54" i="1" s="1"/>
  <c r="S54" i="1"/>
  <c r="K54" i="1"/>
  <c r="J54" i="1"/>
  <c r="L54" i="1" s="1"/>
  <c r="G54" i="1"/>
  <c r="AI53" i="1"/>
  <c r="AK53" i="1" s="1"/>
  <c r="AH53" i="1"/>
  <c r="AJ53" i="1" s="1"/>
  <c r="AG53" i="1"/>
  <c r="AF53" i="1"/>
  <c r="AD53" i="1"/>
  <c r="AC53" i="1"/>
  <c r="Z53" i="1"/>
  <c r="AB53" i="1" s="1"/>
  <c r="Y53" i="1"/>
  <c r="X53" i="1"/>
  <c r="V53" i="1"/>
  <c r="U53" i="1"/>
  <c r="T53" i="1"/>
  <c r="R53" i="1"/>
  <c r="Q53" i="1"/>
  <c r="P53" i="1"/>
  <c r="N53" i="1"/>
  <c r="M53" i="1"/>
  <c r="J53" i="1"/>
  <c r="L53" i="1" s="1"/>
  <c r="I53" i="1"/>
  <c r="H53" i="1"/>
  <c r="F53" i="1"/>
  <c r="E53" i="1"/>
  <c r="D53" i="1"/>
  <c r="B53" i="1"/>
  <c r="AE52" i="1"/>
  <c r="AD52" i="1"/>
  <c r="AA52" i="1"/>
  <c r="Z52" i="1"/>
  <c r="AB52" i="1" s="1"/>
  <c r="Y52" i="1"/>
  <c r="X52" i="1"/>
  <c r="W52" i="1"/>
  <c r="V52" i="1"/>
  <c r="S52" i="1"/>
  <c r="R52" i="1"/>
  <c r="P52" i="1"/>
  <c r="O52" i="1"/>
  <c r="Q52" i="1" s="1"/>
  <c r="N52" i="1"/>
  <c r="M52" i="1"/>
  <c r="L52" i="1"/>
  <c r="K52" i="1"/>
  <c r="J52" i="1"/>
  <c r="G52" i="1"/>
  <c r="F52" i="1"/>
  <c r="D52" i="1"/>
  <c r="C52" i="1"/>
  <c r="B52" i="1"/>
  <c r="AE51" i="1"/>
  <c r="AD51" i="1"/>
  <c r="AA51" i="1"/>
  <c r="Z51" i="1"/>
  <c r="AB51" i="1" s="1"/>
  <c r="Y51" i="1"/>
  <c r="X51" i="1"/>
  <c r="W51" i="1"/>
  <c r="V51" i="1"/>
  <c r="S51" i="1"/>
  <c r="R51" i="1"/>
  <c r="P51" i="1"/>
  <c r="O51" i="1"/>
  <c r="N51" i="1"/>
  <c r="N54" i="1" s="1"/>
  <c r="M51" i="1"/>
  <c r="L51" i="1"/>
  <c r="K51" i="1"/>
  <c r="J51" i="1"/>
  <c r="G51" i="1"/>
  <c r="F51" i="1"/>
  <c r="C51" i="1"/>
  <c r="B51" i="1"/>
  <c r="AK50" i="1"/>
  <c r="AJ50" i="1"/>
  <c r="AI50" i="1"/>
  <c r="AH50" i="1"/>
  <c r="AG50" i="1"/>
  <c r="AF50" i="1"/>
  <c r="AC50" i="1"/>
  <c r="AB50" i="1"/>
  <c r="Y50" i="1"/>
  <c r="X50" i="1"/>
  <c r="U50" i="1"/>
  <c r="T50" i="1"/>
  <c r="Q50" i="1"/>
  <c r="P50" i="1"/>
  <c r="M50" i="1"/>
  <c r="L50" i="1"/>
  <c r="I50" i="1"/>
  <c r="H50" i="1"/>
  <c r="E50" i="1"/>
  <c r="D50" i="1"/>
  <c r="AG49" i="1"/>
  <c r="AF49" i="1"/>
  <c r="AE49" i="1"/>
  <c r="Z49" i="1"/>
  <c r="W49" i="1"/>
  <c r="V49" i="1"/>
  <c r="X49" i="1" s="1"/>
  <c r="U49" i="1"/>
  <c r="S49" i="1"/>
  <c r="T49" i="1" s="1"/>
  <c r="R49" i="1"/>
  <c r="G49" i="1"/>
  <c r="F49" i="1"/>
  <c r="B49" i="1"/>
  <c r="AJ48" i="1"/>
  <c r="AI48" i="1"/>
  <c r="AK48" i="1" s="1"/>
  <c r="AG48" i="1"/>
  <c r="AF48" i="1"/>
  <c r="AD48" i="1"/>
  <c r="AC48" i="1"/>
  <c r="AB48" i="1"/>
  <c r="Z48" i="1"/>
  <c r="Y48" i="1"/>
  <c r="V48" i="1"/>
  <c r="X48" i="1" s="1"/>
  <c r="U48" i="1"/>
  <c r="T48" i="1"/>
  <c r="R48" i="1"/>
  <c r="Q48" i="1"/>
  <c r="P48" i="1"/>
  <c r="N48" i="1"/>
  <c r="N49" i="1" s="1"/>
  <c r="M48" i="1"/>
  <c r="L48" i="1"/>
  <c r="J48" i="1"/>
  <c r="I48" i="1"/>
  <c r="F48" i="1"/>
  <c r="H48" i="1" s="1"/>
  <c r="E48" i="1"/>
  <c r="D48" i="1"/>
  <c r="B48" i="1"/>
  <c r="AH48" i="1" s="1"/>
  <c r="AG47" i="1"/>
  <c r="AF47" i="1"/>
  <c r="AE47" i="1"/>
  <c r="AD47" i="1"/>
  <c r="AB47" i="1"/>
  <c r="AA47" i="1"/>
  <c r="AC47" i="1" s="1"/>
  <c r="Z47" i="1"/>
  <c r="Y47" i="1"/>
  <c r="X47" i="1"/>
  <c r="W47" i="1"/>
  <c r="V47" i="1"/>
  <c r="U47" i="1"/>
  <c r="T47" i="1"/>
  <c r="S47" i="1"/>
  <c r="R47" i="1"/>
  <c r="O47" i="1"/>
  <c r="Q47" i="1" s="1"/>
  <c r="N47" i="1"/>
  <c r="M47" i="1"/>
  <c r="L47" i="1"/>
  <c r="K47" i="1"/>
  <c r="AI47" i="1" s="1"/>
  <c r="J47" i="1"/>
  <c r="AH47" i="1" s="1"/>
  <c r="AJ47" i="1" s="1"/>
  <c r="I47" i="1"/>
  <c r="H47" i="1"/>
  <c r="G47" i="1"/>
  <c r="F47" i="1"/>
  <c r="D47" i="1"/>
  <c r="C47" i="1"/>
  <c r="E47" i="1" s="1"/>
  <c r="B47" i="1"/>
  <c r="AI46" i="1"/>
  <c r="AG46" i="1"/>
  <c r="AF46" i="1"/>
  <c r="AE46" i="1"/>
  <c r="AD46" i="1"/>
  <c r="AD49" i="1" s="1"/>
  <c r="AA46" i="1"/>
  <c r="Z46" i="1"/>
  <c r="W46" i="1"/>
  <c r="Y46" i="1" s="1"/>
  <c r="V46" i="1"/>
  <c r="U46" i="1"/>
  <c r="T46" i="1"/>
  <c r="S46" i="1"/>
  <c r="R46" i="1"/>
  <c r="O46" i="1"/>
  <c r="N46" i="1"/>
  <c r="K46" i="1"/>
  <c r="J46" i="1"/>
  <c r="I46" i="1"/>
  <c r="H46" i="1"/>
  <c r="G46" i="1"/>
  <c r="F46" i="1"/>
  <c r="D46" i="1"/>
  <c r="C46" i="1"/>
  <c r="B46" i="1"/>
  <c r="AK45" i="1"/>
  <c r="AI45" i="1"/>
  <c r="AH45" i="1"/>
  <c r="AJ45" i="1" s="1"/>
  <c r="AG45" i="1"/>
  <c r="AF45" i="1"/>
  <c r="AC45" i="1"/>
  <c r="AB45" i="1"/>
  <c r="Y45" i="1"/>
  <c r="X45" i="1"/>
  <c r="U45" i="1"/>
  <c r="T45" i="1"/>
  <c r="Q45" i="1"/>
  <c r="P45" i="1"/>
  <c r="M45" i="1"/>
  <c r="L45" i="1"/>
  <c r="I45" i="1"/>
  <c r="H45" i="1"/>
  <c r="E45" i="1"/>
  <c r="D45" i="1"/>
  <c r="AE44" i="1"/>
  <c r="AG44" i="1" s="1"/>
  <c r="W44" i="1"/>
  <c r="V44" i="1"/>
  <c r="X44" i="1" s="1"/>
  <c r="T44" i="1"/>
  <c r="S44" i="1"/>
  <c r="R44" i="1"/>
  <c r="N44" i="1"/>
  <c r="P44" i="1" s="1"/>
  <c r="K44" i="1"/>
  <c r="G44" i="1"/>
  <c r="AK43" i="1"/>
  <c r="AI43" i="1"/>
  <c r="AG43" i="1"/>
  <c r="AF43" i="1"/>
  <c r="AD43" i="1"/>
  <c r="AC43" i="1"/>
  <c r="AB43" i="1"/>
  <c r="Z43" i="1"/>
  <c r="Y43" i="1"/>
  <c r="V43" i="1"/>
  <c r="X43" i="1" s="1"/>
  <c r="U43" i="1"/>
  <c r="R43" i="1"/>
  <c r="T43" i="1" s="1"/>
  <c r="Q43" i="1"/>
  <c r="P43" i="1"/>
  <c r="N43" i="1"/>
  <c r="M43" i="1"/>
  <c r="J43" i="1"/>
  <c r="L43" i="1" s="1"/>
  <c r="I43" i="1"/>
  <c r="H43" i="1"/>
  <c r="F43" i="1"/>
  <c r="F44" i="1" s="1"/>
  <c r="E43" i="1"/>
  <c r="B43" i="1"/>
  <c r="D43" i="1" s="1"/>
  <c r="AG42" i="1"/>
  <c r="AF42" i="1"/>
  <c r="AE42" i="1"/>
  <c r="AD42" i="1"/>
  <c r="AC42" i="1"/>
  <c r="AA42" i="1"/>
  <c r="Z42" i="1"/>
  <c r="AB42" i="1" s="1"/>
  <c r="Y42" i="1"/>
  <c r="X42" i="1"/>
  <c r="W42" i="1"/>
  <c r="V42" i="1"/>
  <c r="U42" i="1"/>
  <c r="T42" i="1"/>
  <c r="S42" i="1"/>
  <c r="R42" i="1"/>
  <c r="Q42" i="1"/>
  <c r="O42" i="1"/>
  <c r="N42" i="1"/>
  <c r="P42" i="1" s="1"/>
  <c r="M42" i="1"/>
  <c r="L42" i="1"/>
  <c r="K42" i="1"/>
  <c r="J42" i="1"/>
  <c r="G42" i="1"/>
  <c r="F42" i="1"/>
  <c r="I42" i="1" s="1"/>
  <c r="E42" i="1"/>
  <c r="C42" i="1"/>
  <c r="AI42" i="1" s="1"/>
  <c r="B42" i="1"/>
  <c r="D42" i="1" s="1"/>
  <c r="AH41" i="1"/>
  <c r="AG41" i="1"/>
  <c r="AF41" i="1"/>
  <c r="AE41" i="1"/>
  <c r="AD41" i="1"/>
  <c r="AD44" i="1" s="1"/>
  <c r="AF44" i="1" s="1"/>
  <c r="AC41" i="1"/>
  <c r="AA41" i="1"/>
  <c r="AA44" i="1" s="1"/>
  <c r="Z41" i="1"/>
  <c r="W41" i="1"/>
  <c r="V41" i="1"/>
  <c r="U41" i="1"/>
  <c r="T41" i="1"/>
  <c r="S41" i="1"/>
  <c r="R41" i="1"/>
  <c r="Q41" i="1"/>
  <c r="O41" i="1"/>
  <c r="O44" i="1" s="1"/>
  <c r="Q44" i="1" s="1"/>
  <c r="N41" i="1"/>
  <c r="P41" i="1" s="1"/>
  <c r="K41" i="1"/>
  <c r="J41" i="1"/>
  <c r="I41" i="1"/>
  <c r="H41" i="1"/>
  <c r="G41" i="1"/>
  <c r="F41" i="1"/>
  <c r="C41" i="1"/>
  <c r="B41" i="1"/>
  <c r="D41" i="1" s="1"/>
  <c r="AK40" i="1"/>
  <c r="AI40" i="1"/>
  <c r="AH40" i="1"/>
  <c r="AJ40" i="1" s="1"/>
  <c r="AG40" i="1"/>
  <c r="AF40" i="1"/>
  <c r="AC40" i="1"/>
  <c r="AB40" i="1"/>
  <c r="Y40" i="1"/>
  <c r="X40" i="1"/>
  <c r="U40" i="1"/>
  <c r="T40" i="1"/>
  <c r="Q40" i="1"/>
  <c r="P40" i="1"/>
  <c r="M40" i="1"/>
  <c r="L40" i="1"/>
  <c r="I40" i="1"/>
  <c r="H40" i="1"/>
  <c r="E40" i="1"/>
  <c r="D40" i="1"/>
  <c r="AE39" i="1"/>
  <c r="Z39" i="1"/>
  <c r="AB39" i="1" s="1"/>
  <c r="S39" i="1"/>
  <c r="L39" i="1"/>
  <c r="K39" i="1"/>
  <c r="M39" i="1" s="1"/>
  <c r="G39" i="1"/>
  <c r="B39" i="1"/>
  <c r="AK38" i="1"/>
  <c r="AI38" i="1"/>
  <c r="AG38" i="1"/>
  <c r="AD38" i="1"/>
  <c r="AD39" i="1" s="1"/>
  <c r="AC38" i="1"/>
  <c r="AB38" i="1"/>
  <c r="Z38" i="1"/>
  <c r="Y38" i="1"/>
  <c r="X38" i="1"/>
  <c r="V38" i="1"/>
  <c r="U38" i="1"/>
  <c r="T38" i="1"/>
  <c r="R38" i="1"/>
  <c r="Q38" i="1"/>
  <c r="N38" i="1"/>
  <c r="P38" i="1" s="1"/>
  <c r="M38" i="1"/>
  <c r="L38" i="1"/>
  <c r="J38" i="1"/>
  <c r="I38" i="1"/>
  <c r="H38" i="1"/>
  <c r="F38" i="1"/>
  <c r="E38" i="1"/>
  <c r="D38" i="1"/>
  <c r="B38" i="1"/>
  <c r="AI37" i="1"/>
  <c r="AH37" i="1"/>
  <c r="AJ37" i="1" s="1"/>
  <c r="AG37" i="1"/>
  <c r="AE37" i="1"/>
  <c r="AD37" i="1"/>
  <c r="AF37" i="1" s="1"/>
  <c r="AB37" i="1"/>
  <c r="AA37" i="1"/>
  <c r="AC37" i="1" s="1"/>
  <c r="Z37" i="1"/>
  <c r="W37" i="1"/>
  <c r="V37" i="1"/>
  <c r="U37" i="1"/>
  <c r="S37" i="1"/>
  <c r="R37" i="1"/>
  <c r="T37" i="1" s="1"/>
  <c r="O37" i="1"/>
  <c r="N37" i="1"/>
  <c r="Q37" i="1" s="1"/>
  <c r="L37" i="1"/>
  <c r="K37" i="1"/>
  <c r="J37" i="1"/>
  <c r="G37" i="1"/>
  <c r="F37" i="1"/>
  <c r="E37" i="1"/>
  <c r="C37" i="1"/>
  <c r="D37" i="1" s="1"/>
  <c r="B37" i="1"/>
  <c r="AE36" i="1"/>
  <c r="AD36" i="1"/>
  <c r="AF36" i="1" s="1"/>
  <c r="AA36" i="1"/>
  <c r="AA39" i="1" s="1"/>
  <c r="AC39" i="1" s="1"/>
  <c r="Z36" i="1"/>
  <c r="X36" i="1"/>
  <c r="W36" i="1"/>
  <c r="V36" i="1"/>
  <c r="U36" i="1"/>
  <c r="S36" i="1"/>
  <c r="R36" i="1"/>
  <c r="O36" i="1"/>
  <c r="N36" i="1"/>
  <c r="L36" i="1"/>
  <c r="K36" i="1"/>
  <c r="J36" i="1"/>
  <c r="J39" i="1" s="1"/>
  <c r="G36" i="1"/>
  <c r="F36" i="1"/>
  <c r="H36" i="1" s="1"/>
  <c r="E36" i="1"/>
  <c r="C36" i="1"/>
  <c r="B36" i="1"/>
  <c r="D36" i="1" s="1"/>
  <c r="AI35" i="1"/>
  <c r="AK35" i="1" s="1"/>
  <c r="AH35" i="1"/>
  <c r="AJ35" i="1" s="1"/>
  <c r="AG35" i="1"/>
  <c r="AF35" i="1"/>
  <c r="AC35" i="1"/>
  <c r="AB35" i="1"/>
  <c r="Y35" i="1"/>
  <c r="X35" i="1"/>
  <c r="U35" i="1"/>
  <c r="T35" i="1"/>
  <c r="Q35" i="1"/>
  <c r="P35" i="1"/>
  <c r="M35" i="1"/>
  <c r="L35" i="1"/>
  <c r="I35" i="1"/>
  <c r="H35" i="1"/>
  <c r="E35" i="1"/>
  <c r="D35" i="1"/>
  <c r="AD34" i="1"/>
  <c r="F34" i="1"/>
  <c r="AI33" i="1"/>
  <c r="AK33" i="1" s="1"/>
  <c r="AG33" i="1"/>
  <c r="AD33" i="1"/>
  <c r="AF33" i="1" s="1"/>
  <c r="AC33" i="1"/>
  <c r="Z33" i="1"/>
  <c r="AB33" i="1" s="1"/>
  <c r="Y33" i="1"/>
  <c r="V33" i="1"/>
  <c r="X33" i="1" s="1"/>
  <c r="U33" i="1"/>
  <c r="R33" i="1"/>
  <c r="R34" i="1" s="1"/>
  <c r="Q33" i="1"/>
  <c r="N33" i="1"/>
  <c r="P33" i="1" s="1"/>
  <c r="M33" i="1"/>
  <c r="J33" i="1"/>
  <c r="I33" i="1"/>
  <c r="F33" i="1"/>
  <c r="H33" i="1" s="1"/>
  <c r="E33" i="1"/>
  <c r="B33" i="1"/>
  <c r="B34" i="1" s="1"/>
  <c r="AF32" i="1"/>
  <c r="AE32" i="1"/>
  <c r="AG32" i="1" s="1"/>
  <c r="AD32" i="1"/>
  <c r="AA32" i="1"/>
  <c r="Z32" i="1"/>
  <c r="AB32" i="1" s="1"/>
  <c r="Y32" i="1"/>
  <c r="W32" i="1"/>
  <c r="X32" i="1" s="1"/>
  <c r="V32" i="1"/>
  <c r="S32" i="1"/>
  <c r="U32" i="1" s="1"/>
  <c r="R32" i="1"/>
  <c r="O32" i="1"/>
  <c r="N32" i="1"/>
  <c r="K32" i="1"/>
  <c r="L32" i="1" s="1"/>
  <c r="G32" i="1"/>
  <c r="AI32" i="1" s="1"/>
  <c r="E32" i="1"/>
  <c r="C32" i="1"/>
  <c r="D32" i="1" s="1"/>
  <c r="AG31" i="1"/>
  <c r="AF31" i="1"/>
  <c r="AE31" i="1"/>
  <c r="AD31" i="1"/>
  <c r="AC31" i="1"/>
  <c r="AB31" i="1"/>
  <c r="AA31" i="1"/>
  <c r="Z31" i="1"/>
  <c r="W31" i="1"/>
  <c r="V31" i="1"/>
  <c r="X31" i="1" s="1"/>
  <c r="U31" i="1"/>
  <c r="T31" i="1"/>
  <c r="S31" i="1"/>
  <c r="R31" i="1"/>
  <c r="Q31" i="1"/>
  <c r="P31" i="1"/>
  <c r="O31" i="1"/>
  <c r="N31" i="1"/>
  <c r="L31" i="1"/>
  <c r="K31" i="1"/>
  <c r="G31" i="1"/>
  <c r="C31" i="1"/>
  <c r="AK30" i="1"/>
  <c r="AI30" i="1"/>
  <c r="AH30" i="1"/>
  <c r="AJ30" i="1" s="1"/>
  <c r="AG30" i="1"/>
  <c r="AF30" i="1"/>
  <c r="AC30" i="1"/>
  <c r="AB30" i="1"/>
  <c r="Y30" i="1"/>
  <c r="X30" i="1"/>
  <c r="U30" i="1"/>
  <c r="T30" i="1"/>
  <c r="Q30" i="1"/>
  <c r="P30" i="1"/>
  <c r="M30" i="1"/>
  <c r="L30" i="1"/>
  <c r="I30" i="1"/>
  <c r="H30" i="1"/>
  <c r="E30" i="1"/>
  <c r="D30" i="1"/>
  <c r="AA29" i="1"/>
  <c r="O29" i="1"/>
  <c r="C29" i="1"/>
  <c r="AK28" i="1"/>
  <c r="AI28" i="1"/>
  <c r="AG28" i="1"/>
  <c r="AD28" i="1"/>
  <c r="AF28" i="1" s="1"/>
  <c r="AC28" i="1"/>
  <c r="AB28" i="1"/>
  <c r="Z28" i="1"/>
  <c r="Y28" i="1"/>
  <c r="V28" i="1"/>
  <c r="X28" i="1" s="1"/>
  <c r="U28" i="1"/>
  <c r="R28" i="1"/>
  <c r="T28" i="1" s="1"/>
  <c r="Q28" i="1"/>
  <c r="N28" i="1"/>
  <c r="P28" i="1" s="1"/>
  <c r="M28" i="1"/>
  <c r="J28" i="1"/>
  <c r="J29" i="1" s="1"/>
  <c r="I28" i="1"/>
  <c r="F28" i="1"/>
  <c r="H28" i="1" s="1"/>
  <c r="E28" i="1"/>
  <c r="B28" i="1"/>
  <c r="D28" i="1" s="1"/>
  <c r="AG27" i="1"/>
  <c r="AF27" i="1"/>
  <c r="AE27" i="1"/>
  <c r="AD27" i="1"/>
  <c r="AA27" i="1"/>
  <c r="Z27" i="1"/>
  <c r="AB27" i="1" s="1"/>
  <c r="Y27" i="1"/>
  <c r="W27" i="1"/>
  <c r="V27" i="1"/>
  <c r="X27" i="1" s="1"/>
  <c r="T27" i="1"/>
  <c r="S27" i="1"/>
  <c r="U27" i="1" s="1"/>
  <c r="R27" i="1"/>
  <c r="O27" i="1"/>
  <c r="N27" i="1"/>
  <c r="P27" i="1" s="1"/>
  <c r="M27" i="1"/>
  <c r="K27" i="1"/>
  <c r="J27" i="1"/>
  <c r="L27" i="1" s="1"/>
  <c r="I27" i="1"/>
  <c r="H27" i="1"/>
  <c r="G27" i="1"/>
  <c r="F27" i="1"/>
  <c r="E27" i="1"/>
  <c r="C27" i="1"/>
  <c r="B27" i="1"/>
  <c r="AE26" i="1"/>
  <c r="AE29" i="1" s="1"/>
  <c r="AG29" i="1" s="1"/>
  <c r="AD26" i="1"/>
  <c r="AD29" i="1" s="1"/>
  <c r="AF29" i="1" s="1"/>
  <c r="AC26" i="1"/>
  <c r="AA26" i="1"/>
  <c r="Z26" i="1"/>
  <c r="Y26" i="1"/>
  <c r="W26" i="1"/>
  <c r="W29" i="1" s="1"/>
  <c r="V26" i="1"/>
  <c r="X26" i="1" s="1"/>
  <c r="S26" i="1"/>
  <c r="S29" i="1" s="1"/>
  <c r="R26" i="1"/>
  <c r="O26" i="1"/>
  <c r="N26" i="1"/>
  <c r="Q26" i="1" s="1"/>
  <c r="M26" i="1"/>
  <c r="K26" i="1"/>
  <c r="K29" i="1" s="1"/>
  <c r="J26" i="1"/>
  <c r="L26" i="1" s="1"/>
  <c r="I26" i="1"/>
  <c r="H26" i="1"/>
  <c r="G26" i="1"/>
  <c r="F26" i="1"/>
  <c r="C26" i="1"/>
  <c r="B26" i="1"/>
  <c r="E26" i="1" s="1"/>
  <c r="AK25" i="1"/>
  <c r="AI25" i="1"/>
  <c r="AH25" i="1"/>
  <c r="AJ25" i="1" s="1"/>
  <c r="AG25" i="1"/>
  <c r="AF25" i="1"/>
  <c r="AC25" i="1"/>
  <c r="AB25" i="1"/>
  <c r="Y25" i="1"/>
  <c r="X25" i="1"/>
  <c r="U25" i="1"/>
  <c r="T25" i="1"/>
  <c r="Q25" i="1"/>
  <c r="P25" i="1"/>
  <c r="M25" i="1"/>
  <c r="L25" i="1"/>
  <c r="I25" i="1"/>
  <c r="H25" i="1"/>
  <c r="E25" i="1"/>
  <c r="D25" i="1"/>
  <c r="AA24" i="1"/>
  <c r="V24" i="1"/>
  <c r="O24" i="1"/>
  <c r="C24" i="1"/>
  <c r="AK23" i="1"/>
  <c r="AI23" i="1"/>
  <c r="AG23" i="1"/>
  <c r="AD23" i="1"/>
  <c r="AF23" i="1" s="1"/>
  <c r="AC23" i="1"/>
  <c r="AB23" i="1"/>
  <c r="Z23" i="1"/>
  <c r="Y23" i="1"/>
  <c r="V23" i="1"/>
  <c r="X23" i="1" s="1"/>
  <c r="U23" i="1"/>
  <c r="R23" i="1"/>
  <c r="T23" i="1" s="1"/>
  <c r="Q23" i="1"/>
  <c r="N23" i="1"/>
  <c r="P23" i="1" s="1"/>
  <c r="M23" i="1"/>
  <c r="L23" i="1"/>
  <c r="J23" i="1"/>
  <c r="J24" i="1" s="1"/>
  <c r="L24" i="1" s="1"/>
  <c r="I23" i="1"/>
  <c r="F23" i="1"/>
  <c r="H23" i="1" s="1"/>
  <c r="E23" i="1"/>
  <c r="B23" i="1"/>
  <c r="D23" i="1" s="1"/>
  <c r="AG22" i="1"/>
  <c r="AF22" i="1"/>
  <c r="AE22" i="1"/>
  <c r="AD22" i="1"/>
  <c r="AC22" i="1"/>
  <c r="AA22" i="1"/>
  <c r="Z22" i="1"/>
  <c r="AB22" i="1" s="1"/>
  <c r="Y22" i="1"/>
  <c r="W22" i="1"/>
  <c r="V22" i="1"/>
  <c r="X22" i="1" s="1"/>
  <c r="S22" i="1"/>
  <c r="U22" i="1" s="1"/>
  <c r="R22" i="1"/>
  <c r="O22" i="1"/>
  <c r="N22" i="1"/>
  <c r="P22" i="1" s="1"/>
  <c r="K22" i="1"/>
  <c r="M22" i="1" s="1"/>
  <c r="J22" i="1"/>
  <c r="H22" i="1"/>
  <c r="G22" i="1"/>
  <c r="I22" i="1" s="1"/>
  <c r="F22" i="1"/>
  <c r="E22" i="1"/>
  <c r="C22" i="1"/>
  <c r="B22" i="1"/>
  <c r="AG21" i="1"/>
  <c r="AF21" i="1"/>
  <c r="AE21" i="1"/>
  <c r="AD21" i="1"/>
  <c r="AA21" i="1"/>
  <c r="Z21" i="1"/>
  <c r="W21" i="1"/>
  <c r="W24" i="1" s="1"/>
  <c r="Y24" i="1" s="1"/>
  <c r="V21" i="1"/>
  <c r="T21" i="1"/>
  <c r="S21" i="1"/>
  <c r="R21" i="1"/>
  <c r="O21" i="1"/>
  <c r="N21" i="1"/>
  <c r="K21" i="1"/>
  <c r="K24" i="1" s="1"/>
  <c r="M24" i="1" s="1"/>
  <c r="J21" i="1"/>
  <c r="L21" i="1" s="1"/>
  <c r="I21" i="1"/>
  <c r="H21" i="1"/>
  <c r="G21" i="1"/>
  <c r="F21" i="1"/>
  <c r="F24" i="1" s="1"/>
  <c r="E21" i="1"/>
  <c r="C21" i="1"/>
  <c r="B21" i="1"/>
  <c r="AI20" i="1"/>
  <c r="AK20" i="1" s="1"/>
  <c r="AH20" i="1"/>
  <c r="AG20" i="1"/>
  <c r="AF20" i="1"/>
  <c r="AC20" i="1"/>
  <c r="AB20" i="1"/>
  <c r="Y20" i="1"/>
  <c r="X20" i="1"/>
  <c r="U20" i="1"/>
  <c r="T20" i="1"/>
  <c r="Q20" i="1"/>
  <c r="P20" i="1"/>
  <c r="M20" i="1"/>
  <c r="L20" i="1"/>
  <c r="I20" i="1"/>
  <c r="H20" i="1"/>
  <c r="E20" i="1"/>
  <c r="D20" i="1"/>
  <c r="AE19" i="1"/>
  <c r="C19" i="1"/>
  <c r="AK18" i="1"/>
  <c r="AI18" i="1"/>
  <c r="AG18" i="1"/>
  <c r="AD18" i="1"/>
  <c r="AF18" i="1" s="1"/>
  <c r="AC18" i="1"/>
  <c r="AB18" i="1"/>
  <c r="Z18" i="1"/>
  <c r="Y18" i="1"/>
  <c r="V18" i="1"/>
  <c r="X18" i="1" s="1"/>
  <c r="U18" i="1"/>
  <c r="R18" i="1"/>
  <c r="T18" i="1" s="1"/>
  <c r="Q18" i="1"/>
  <c r="N18" i="1"/>
  <c r="P18" i="1" s="1"/>
  <c r="M18" i="1"/>
  <c r="J18" i="1"/>
  <c r="L18" i="1" s="1"/>
  <c r="I18" i="1"/>
  <c r="F18" i="1"/>
  <c r="AH18" i="1" s="1"/>
  <c r="AJ18" i="1" s="1"/>
  <c r="E18" i="1"/>
  <c r="D18" i="1"/>
  <c r="B18" i="1"/>
  <c r="AE17" i="1"/>
  <c r="AD17" i="1"/>
  <c r="AG17" i="1" s="1"/>
  <c r="AA17" i="1"/>
  <c r="AC17" i="1" s="1"/>
  <c r="Z17" i="1"/>
  <c r="AB17" i="1" s="1"/>
  <c r="W17" i="1"/>
  <c r="V17" i="1"/>
  <c r="X17" i="1" s="1"/>
  <c r="U17" i="1"/>
  <c r="T17" i="1"/>
  <c r="S17" i="1"/>
  <c r="R17" i="1"/>
  <c r="O17" i="1"/>
  <c r="O19" i="1" s="1"/>
  <c r="N17" i="1"/>
  <c r="P17" i="1" s="1"/>
  <c r="M17" i="1"/>
  <c r="K17" i="1"/>
  <c r="J17" i="1"/>
  <c r="I17" i="1"/>
  <c r="G17" i="1"/>
  <c r="H17" i="1" s="1"/>
  <c r="F17" i="1"/>
  <c r="C17" i="1"/>
  <c r="AI17" i="1" s="1"/>
  <c r="B17" i="1"/>
  <c r="D17" i="1" s="1"/>
  <c r="AI16" i="1"/>
  <c r="AF16" i="1"/>
  <c r="AE16" i="1"/>
  <c r="AG16" i="1" s="1"/>
  <c r="AD16" i="1"/>
  <c r="AA16" i="1"/>
  <c r="AC16" i="1" s="1"/>
  <c r="Z16" i="1"/>
  <c r="AB16" i="1" s="1"/>
  <c r="W16" i="1"/>
  <c r="W19" i="1" s="1"/>
  <c r="V16" i="1"/>
  <c r="X16" i="1" s="1"/>
  <c r="S16" i="1"/>
  <c r="S19" i="1" s="1"/>
  <c r="R16" i="1"/>
  <c r="O16" i="1"/>
  <c r="N16" i="1"/>
  <c r="N19" i="1" s="1"/>
  <c r="K16" i="1"/>
  <c r="K19" i="1" s="1"/>
  <c r="J16" i="1"/>
  <c r="L16" i="1" s="1"/>
  <c r="I16" i="1"/>
  <c r="G16" i="1"/>
  <c r="F16" i="1"/>
  <c r="E16" i="1"/>
  <c r="D16" i="1"/>
  <c r="C16" i="1"/>
  <c r="B16" i="1"/>
  <c r="AK15" i="1"/>
  <c r="AI15" i="1"/>
  <c r="AH15" i="1"/>
  <c r="AJ15" i="1" s="1"/>
  <c r="AG15" i="1"/>
  <c r="AF15" i="1"/>
  <c r="AC15" i="1"/>
  <c r="AB15" i="1"/>
  <c r="Y15" i="1"/>
  <c r="X15" i="1"/>
  <c r="U15" i="1"/>
  <c r="T15" i="1"/>
  <c r="Q15" i="1"/>
  <c r="P15" i="1"/>
  <c r="M15" i="1"/>
  <c r="L15" i="1"/>
  <c r="I15" i="1"/>
  <c r="H15" i="1"/>
  <c r="E15" i="1"/>
  <c r="D15" i="1"/>
  <c r="AD12" i="1"/>
  <c r="Z12" i="1"/>
  <c r="Z13" i="1" s="1"/>
  <c r="R12" i="1"/>
  <c r="N12" i="1"/>
  <c r="K12" i="1"/>
  <c r="F12" i="1"/>
  <c r="B12" i="1"/>
  <c r="B13" i="1" s="1"/>
  <c r="AI11" i="1"/>
  <c r="AK11" i="1" s="1"/>
  <c r="AG11" i="1"/>
  <c r="AF11" i="1"/>
  <c r="AC11" i="1"/>
  <c r="AB11" i="1"/>
  <c r="Z11" i="1"/>
  <c r="AH11" i="1" s="1"/>
  <c r="AJ11" i="1" s="1"/>
  <c r="Y11" i="1"/>
  <c r="X11" i="1"/>
  <c r="U11" i="1"/>
  <c r="T11" i="1"/>
  <c r="Q11" i="1"/>
  <c r="P11" i="1"/>
  <c r="M11" i="1"/>
  <c r="L11" i="1"/>
  <c r="I11" i="1"/>
  <c r="H11" i="1"/>
  <c r="E11" i="1"/>
  <c r="D11" i="1"/>
  <c r="AI10" i="1"/>
  <c r="AJ10" i="1" s="1"/>
  <c r="AH10" i="1"/>
  <c r="AF10" i="1"/>
  <c r="AE10" i="1"/>
  <c r="AG10" i="1" s="1"/>
  <c r="AC10" i="1"/>
  <c r="AB10" i="1"/>
  <c r="AA10" i="1"/>
  <c r="W10" i="1"/>
  <c r="Y10" i="1" s="1"/>
  <c r="U10" i="1"/>
  <c r="T10" i="1"/>
  <c r="S10" i="1"/>
  <c r="P10" i="1"/>
  <c r="O10" i="1"/>
  <c r="Q10" i="1" s="1"/>
  <c r="M10" i="1"/>
  <c r="L10" i="1"/>
  <c r="K10" i="1"/>
  <c r="G10" i="1"/>
  <c r="I10" i="1" s="1"/>
  <c r="E10" i="1"/>
  <c r="D10" i="1"/>
  <c r="C10" i="1"/>
  <c r="AE9" i="1"/>
  <c r="AG9" i="1" s="1"/>
  <c r="AD9" i="1"/>
  <c r="AF9" i="1" s="1"/>
  <c r="AA9" i="1"/>
  <c r="AB9" i="1" s="1"/>
  <c r="Z9" i="1"/>
  <c r="X9" i="1"/>
  <c r="W9" i="1"/>
  <c r="Y9" i="1" s="1"/>
  <c r="V9" i="1"/>
  <c r="S9" i="1"/>
  <c r="U9" i="1" s="1"/>
  <c r="R9" i="1"/>
  <c r="T9" i="1" s="1"/>
  <c r="O9" i="1"/>
  <c r="Q9" i="1" s="1"/>
  <c r="N9" i="1"/>
  <c r="L9" i="1"/>
  <c r="K9" i="1"/>
  <c r="M9" i="1" s="1"/>
  <c r="J9" i="1"/>
  <c r="AH9" i="1" s="1"/>
  <c r="G9" i="1"/>
  <c r="I9" i="1" s="1"/>
  <c r="F9" i="1"/>
  <c r="H9" i="1" s="1"/>
  <c r="C9" i="1"/>
  <c r="E9" i="1" s="1"/>
  <c r="B9" i="1"/>
  <c r="AE8" i="1"/>
  <c r="AG8" i="1" s="1"/>
  <c r="AD8" i="1"/>
  <c r="AF8" i="1" s="1"/>
  <c r="AA8" i="1"/>
  <c r="AB8" i="1" s="1"/>
  <c r="Z8" i="1"/>
  <c r="X8" i="1"/>
  <c r="W8" i="1"/>
  <c r="Y8" i="1" s="1"/>
  <c r="V8" i="1"/>
  <c r="V12" i="1" s="1"/>
  <c r="S8" i="1"/>
  <c r="U8" i="1" s="1"/>
  <c r="R8" i="1"/>
  <c r="T8" i="1" s="1"/>
  <c r="O8" i="1"/>
  <c r="P8" i="1" s="1"/>
  <c r="N8" i="1"/>
  <c r="L8" i="1"/>
  <c r="K8" i="1"/>
  <c r="M8" i="1" s="1"/>
  <c r="J8" i="1"/>
  <c r="J12" i="1" s="1"/>
  <c r="G8" i="1"/>
  <c r="I8" i="1" s="1"/>
  <c r="F8" i="1"/>
  <c r="H8" i="1" s="1"/>
  <c r="C8" i="1"/>
  <c r="AI8" i="1" s="1"/>
  <c r="B8" i="1"/>
  <c r="P19" i="1" l="1"/>
  <c r="AK17" i="1"/>
  <c r="H44" i="1"/>
  <c r="I44" i="1"/>
  <c r="L12" i="1"/>
  <c r="J13" i="1"/>
  <c r="M12" i="1"/>
  <c r="U19" i="1"/>
  <c r="Q19" i="1"/>
  <c r="X12" i="1"/>
  <c r="V13" i="1"/>
  <c r="L29" i="1"/>
  <c r="M29" i="1"/>
  <c r="Y29" i="1"/>
  <c r="AK32" i="1"/>
  <c r="P12" i="1"/>
  <c r="P9" i="1"/>
  <c r="O12" i="1"/>
  <c r="AK75" i="1"/>
  <c r="AJ75" i="1"/>
  <c r="AC9" i="1"/>
  <c r="D12" i="1"/>
  <c r="AB21" i="1"/>
  <c r="Z24" i="1"/>
  <c r="AB24" i="1" s="1"/>
  <c r="T22" i="1"/>
  <c r="AI22" i="1"/>
  <c r="AK22" i="1" s="1"/>
  <c r="AC36" i="1"/>
  <c r="AG39" i="1"/>
  <c r="AF39" i="1"/>
  <c r="Y49" i="1"/>
  <c r="P57" i="1"/>
  <c r="N59" i="1"/>
  <c r="AK95" i="1"/>
  <c r="AJ95" i="1"/>
  <c r="T112" i="1"/>
  <c r="AH112" i="1"/>
  <c r="AJ112" i="1" s="1"/>
  <c r="H10" i="1"/>
  <c r="X10" i="1"/>
  <c r="AD13" i="1"/>
  <c r="M16" i="1"/>
  <c r="G19" i="1"/>
  <c r="Z19" i="1"/>
  <c r="AJ20" i="1"/>
  <c r="M21" i="1"/>
  <c r="R29" i="1"/>
  <c r="T29" i="1" s="1"/>
  <c r="AF26" i="1"/>
  <c r="L28" i="1"/>
  <c r="M32" i="1"/>
  <c r="H34" i="1"/>
  <c r="N39" i="1"/>
  <c r="P36" i="1"/>
  <c r="AK37" i="1"/>
  <c r="AF38" i="1"/>
  <c r="Y41" i="1"/>
  <c r="X41" i="1"/>
  <c r="Y44" i="1"/>
  <c r="X46" i="1"/>
  <c r="T61" i="1"/>
  <c r="R64" i="1"/>
  <c r="T64" i="1" s="1"/>
  <c r="U61" i="1"/>
  <c r="AH110" i="1"/>
  <c r="AJ110" i="1" s="1"/>
  <c r="B113" i="1"/>
  <c r="D110" i="1"/>
  <c r="M116" i="1"/>
  <c r="AI116" i="1"/>
  <c r="D8" i="1"/>
  <c r="AA12" i="1"/>
  <c r="AF86" i="1"/>
  <c r="AD89" i="1"/>
  <c r="AG111" i="1"/>
  <c r="AF111" i="1"/>
  <c r="AD113" i="1"/>
  <c r="AF113" i="1" s="1"/>
  <c r="C12" i="1"/>
  <c r="Q8" i="1"/>
  <c r="AK10" i="1"/>
  <c r="R13" i="1"/>
  <c r="Q17" i="1"/>
  <c r="AA19" i="1"/>
  <c r="AC21" i="1"/>
  <c r="AG26" i="1"/>
  <c r="AC27" i="1"/>
  <c r="AH28" i="1"/>
  <c r="AJ28" i="1" s="1"/>
  <c r="AH32" i="1"/>
  <c r="AJ32" i="1" s="1"/>
  <c r="P32" i="1"/>
  <c r="AG56" i="1"/>
  <c r="T81" i="1"/>
  <c r="AH81" i="1"/>
  <c r="AJ81" i="1" s="1"/>
  <c r="R84" i="1"/>
  <c r="G12" i="1"/>
  <c r="S12" i="1"/>
  <c r="T12" i="1" s="1"/>
  <c r="AE12" i="1"/>
  <c r="E17" i="1"/>
  <c r="J19" i="1"/>
  <c r="AD24" i="1"/>
  <c r="AF24" i="1" s="1"/>
  <c r="F29" i="1"/>
  <c r="H29" i="1" s="1"/>
  <c r="T26" i="1"/>
  <c r="V29" i="1"/>
  <c r="X29" i="1" s="1"/>
  <c r="Q32" i="1"/>
  <c r="T33" i="1"/>
  <c r="AH38" i="1"/>
  <c r="AJ38" i="1" s="1"/>
  <c r="R59" i="1"/>
  <c r="T56" i="1"/>
  <c r="U56" i="1"/>
  <c r="C64" i="1"/>
  <c r="AI61" i="1"/>
  <c r="AK61" i="1" s="1"/>
  <c r="E61" i="1"/>
  <c r="J34" i="1"/>
  <c r="L33" i="1"/>
  <c r="AC32" i="1"/>
  <c r="AC8" i="1"/>
  <c r="F13" i="1"/>
  <c r="P21" i="1"/>
  <c r="N24" i="1"/>
  <c r="O39" i="1"/>
  <c r="Q39" i="1" s="1"/>
  <c r="AI36" i="1"/>
  <c r="AK36" i="1" s="1"/>
  <c r="Q36" i="1"/>
  <c r="P16" i="1"/>
  <c r="AF17" i="1"/>
  <c r="D21" i="1"/>
  <c r="AH21" i="1"/>
  <c r="AJ21" i="1" s="1"/>
  <c r="B24" i="1"/>
  <c r="Q21" i="1"/>
  <c r="AE24" i="1"/>
  <c r="L22" i="1"/>
  <c r="G29" i="1"/>
  <c r="I29" i="1" s="1"/>
  <c r="AI26" i="1"/>
  <c r="U26" i="1"/>
  <c r="D27" i="1"/>
  <c r="AH27" i="1"/>
  <c r="Q27" i="1"/>
  <c r="S34" i="1"/>
  <c r="U34" i="1" s="1"/>
  <c r="V39" i="1"/>
  <c r="X39" i="1" s="1"/>
  <c r="X37" i="1"/>
  <c r="J44" i="1"/>
  <c r="L44" i="1" s="1"/>
  <c r="M41" i="1"/>
  <c r="L41" i="1"/>
  <c r="AK47" i="1"/>
  <c r="Z54" i="1"/>
  <c r="AH57" i="1"/>
  <c r="AD59" i="1"/>
  <c r="K94" i="1"/>
  <c r="M91" i="1"/>
  <c r="N13" i="1"/>
  <c r="M57" i="1"/>
  <c r="AI57" i="1"/>
  <c r="AK57" i="1" s="1"/>
  <c r="V19" i="1"/>
  <c r="AB36" i="1"/>
  <c r="M54" i="1"/>
  <c r="AB12" i="1"/>
  <c r="AH17" i="1"/>
  <c r="AJ17" i="1" s="1"/>
  <c r="AH8" i="1"/>
  <c r="AJ8" i="1" s="1"/>
  <c r="Q16" i="1"/>
  <c r="AD19" i="1"/>
  <c r="AG19" i="1" s="1"/>
  <c r="R24" i="1"/>
  <c r="D34" i="1"/>
  <c r="V34" i="1"/>
  <c r="J49" i="1"/>
  <c r="L49" i="1" s="1"/>
  <c r="L46" i="1"/>
  <c r="AH56" i="1"/>
  <c r="AJ56" i="1" s="1"/>
  <c r="M64" i="1"/>
  <c r="H103" i="1"/>
  <c r="P26" i="1"/>
  <c r="N29" i="1"/>
  <c r="P29" i="1" s="1"/>
  <c r="Y69" i="1"/>
  <c r="D9" i="1"/>
  <c r="AH33" i="1"/>
  <c r="AJ33" i="1" s="1"/>
  <c r="L57" i="1"/>
  <c r="E8" i="1"/>
  <c r="H18" i="1"/>
  <c r="AI9" i="1"/>
  <c r="AK9" i="1" s="1"/>
  <c r="AH12" i="1"/>
  <c r="R19" i="1"/>
  <c r="S24" i="1"/>
  <c r="U24" i="1" s="1"/>
  <c r="C34" i="1"/>
  <c r="E31" i="1"/>
  <c r="D31" i="1"/>
  <c r="AH31" i="1"/>
  <c r="T32" i="1"/>
  <c r="D33" i="1"/>
  <c r="H37" i="1"/>
  <c r="I37" i="1"/>
  <c r="AH49" i="1"/>
  <c r="H49" i="1"/>
  <c r="U67" i="1"/>
  <c r="T67" i="1"/>
  <c r="AH67" i="1"/>
  <c r="AB73" i="1"/>
  <c r="Z74" i="1"/>
  <c r="AI19" i="1"/>
  <c r="AI77" i="1"/>
  <c r="AK77" i="1" s="1"/>
  <c r="M77" i="1"/>
  <c r="I32" i="1"/>
  <c r="H32" i="1"/>
  <c r="AE89" i="1"/>
  <c r="AG89" i="1" s="1"/>
  <c r="AG86" i="1"/>
  <c r="I49" i="1"/>
  <c r="AA54" i="1"/>
  <c r="AC54" i="1" s="1"/>
  <c r="AC51" i="1"/>
  <c r="Z34" i="1"/>
  <c r="I86" i="1"/>
  <c r="G89" i="1"/>
  <c r="I89" i="1" s="1"/>
  <c r="AI86" i="1"/>
  <c r="AK86" i="1" s="1"/>
  <c r="H86" i="1"/>
  <c r="Y21" i="1"/>
  <c r="K59" i="1"/>
  <c r="L59" i="1" s="1"/>
  <c r="Y19" i="1"/>
  <c r="W12" i="1"/>
  <c r="F19" i="1"/>
  <c r="AI21" i="1"/>
  <c r="G34" i="1"/>
  <c r="I34" i="1" s="1"/>
  <c r="H31" i="1"/>
  <c r="AI31" i="1"/>
  <c r="AK31" i="1" s="1"/>
  <c r="T16" i="1"/>
  <c r="L17" i="1"/>
  <c r="G24" i="1"/>
  <c r="I24" i="1" s="1"/>
  <c r="U21" i="1"/>
  <c r="AH23" i="1"/>
  <c r="AJ23" i="1" s="1"/>
  <c r="AB26" i="1"/>
  <c r="Z29" i="1"/>
  <c r="AI27" i="1"/>
  <c r="AK27" i="1" s="1"/>
  <c r="I31" i="1"/>
  <c r="W34" i="1"/>
  <c r="Y34" i="1" s="1"/>
  <c r="Y31" i="1"/>
  <c r="AE34" i="1"/>
  <c r="AG34" i="1" s="1"/>
  <c r="U79" i="1"/>
  <c r="I71" i="1"/>
  <c r="H71" i="1"/>
  <c r="F74" i="1"/>
  <c r="H74" i="1" s="1"/>
  <c r="AH71" i="1"/>
  <c r="Y16" i="1"/>
  <c r="E19" i="1"/>
  <c r="D26" i="1"/>
  <c r="AH26" i="1"/>
  <c r="AJ26" i="1" s="1"/>
  <c r="B29" i="1"/>
  <c r="K13" i="1"/>
  <c r="H16" i="1"/>
  <c r="U16" i="1"/>
  <c r="AH16" i="1"/>
  <c r="AJ16" i="1" s="1"/>
  <c r="Y17" i="1"/>
  <c r="B19" i="1"/>
  <c r="X21" i="1"/>
  <c r="D22" i="1"/>
  <c r="AH22" i="1"/>
  <c r="Q22" i="1"/>
  <c r="X24" i="1"/>
  <c r="M31" i="1"/>
  <c r="K34" i="1"/>
  <c r="M34" i="1" s="1"/>
  <c r="AH46" i="1"/>
  <c r="AJ46" i="1" s="1"/>
  <c r="E69" i="1"/>
  <c r="X72" i="1"/>
  <c r="Y72" i="1"/>
  <c r="AJ114" i="1"/>
  <c r="L116" i="1"/>
  <c r="AH116" i="1"/>
  <c r="AJ116" i="1" s="1"/>
  <c r="M36" i="1"/>
  <c r="B44" i="1"/>
  <c r="U44" i="1"/>
  <c r="I52" i="1"/>
  <c r="H52" i="1"/>
  <c r="P61" i="1"/>
  <c r="U66" i="1"/>
  <c r="R69" i="1"/>
  <c r="T66" i="1"/>
  <c r="AF69" i="1"/>
  <c r="AG69" i="1"/>
  <c r="D73" i="1"/>
  <c r="AH86" i="1"/>
  <c r="L91" i="1"/>
  <c r="J94" i="1"/>
  <c r="L94" i="1" s="1"/>
  <c r="AC94" i="1"/>
  <c r="Z103" i="1"/>
  <c r="AB100" i="1"/>
  <c r="D108" i="1"/>
  <c r="Y37" i="1"/>
  <c r="K49" i="1"/>
  <c r="AC52" i="1"/>
  <c r="AG54" i="1"/>
  <c r="Q57" i="1"/>
  <c r="AH62" i="1"/>
  <c r="AJ62" i="1" s="1"/>
  <c r="F69" i="1"/>
  <c r="H66" i="1"/>
  <c r="I66" i="1"/>
  <c r="I67" i="1"/>
  <c r="H67" i="1"/>
  <c r="X67" i="1"/>
  <c r="R79" i="1"/>
  <c r="T79" i="1" s="1"/>
  <c r="T76" i="1"/>
  <c r="U98" i="1"/>
  <c r="T98" i="1"/>
  <c r="U110" i="1"/>
  <c r="T110" i="1"/>
  <c r="R113" i="1"/>
  <c r="T113" i="1" s="1"/>
  <c r="AH111" i="1"/>
  <c r="AJ111" i="1" s="1"/>
  <c r="D111" i="1"/>
  <c r="N34" i="1"/>
  <c r="P34" i="1" s="1"/>
  <c r="C39" i="1"/>
  <c r="AG51" i="1"/>
  <c r="AF51" i="1"/>
  <c r="H56" i="1"/>
  <c r="F59" i="1"/>
  <c r="Y61" i="1"/>
  <c r="X61" i="1"/>
  <c r="V64" i="1"/>
  <c r="X64" i="1" s="1"/>
  <c r="AA69" i="1"/>
  <c r="AA74" i="1"/>
  <c r="AC74" i="1" s="1"/>
  <c r="AC71" i="1"/>
  <c r="Y101" i="1"/>
  <c r="X101" i="1"/>
  <c r="V103" i="1"/>
  <c r="X103" i="1" s="1"/>
  <c r="AH101" i="1"/>
  <c r="AG103" i="1"/>
  <c r="O34" i="1"/>
  <c r="O119" i="1" s="1"/>
  <c r="AA34" i="1"/>
  <c r="AC34" i="1" s="1"/>
  <c r="R39" i="1"/>
  <c r="T39" i="1" s="1"/>
  <c r="T36" i="1"/>
  <c r="AG36" i="1"/>
  <c r="M37" i="1"/>
  <c r="Z44" i="1"/>
  <c r="M46" i="1"/>
  <c r="P47" i="1"/>
  <c r="O54" i="1"/>
  <c r="Q51" i="1"/>
  <c r="AG52" i="1"/>
  <c r="AF52" i="1"/>
  <c r="AH58" i="1"/>
  <c r="AJ58" i="1" s="1"/>
  <c r="AH63" i="1"/>
  <c r="AJ63" i="1" s="1"/>
  <c r="AB66" i="1"/>
  <c r="AB71" i="1"/>
  <c r="AB79" i="1"/>
  <c r="U92" i="1"/>
  <c r="R94" i="1"/>
  <c r="T94" i="1" s="1"/>
  <c r="AG97" i="1"/>
  <c r="AF97" i="1"/>
  <c r="AH36" i="1"/>
  <c r="M44" i="1"/>
  <c r="AA49" i="1"/>
  <c r="AC49" i="1" s="1"/>
  <c r="AC46" i="1"/>
  <c r="D57" i="1"/>
  <c r="B59" i="1"/>
  <c r="V59" i="1"/>
  <c r="X59" i="1" s="1"/>
  <c r="AB64" i="1"/>
  <c r="Y62" i="1"/>
  <c r="X62" i="1"/>
  <c r="U64" i="1"/>
  <c r="AC67" i="1"/>
  <c r="AB67" i="1"/>
  <c r="N74" i="1"/>
  <c r="P74" i="1" s="1"/>
  <c r="P71" i="1"/>
  <c r="AD74" i="1"/>
  <c r="AF71" i="1"/>
  <c r="H76" i="1"/>
  <c r="F79" i="1"/>
  <c r="I76" i="1"/>
  <c r="AD108" i="1"/>
  <c r="AF105" i="1"/>
  <c r="O49" i="1"/>
  <c r="Q49" i="1" s="1"/>
  <c r="Q46" i="1"/>
  <c r="AB46" i="1"/>
  <c r="AH51" i="1"/>
  <c r="AJ51" i="1" s="1"/>
  <c r="U51" i="1"/>
  <c r="R54" i="1"/>
  <c r="T51" i="1"/>
  <c r="M61" i="1"/>
  <c r="L61" i="1"/>
  <c r="O74" i="1"/>
  <c r="Q71" i="1"/>
  <c r="Y79" i="1"/>
  <c r="AH82" i="1"/>
  <c r="AJ82" i="1" s="1"/>
  <c r="T82" i="1"/>
  <c r="E91" i="1"/>
  <c r="C94" i="1"/>
  <c r="AI91" i="1"/>
  <c r="AK91" i="1" s="1"/>
  <c r="L97" i="1"/>
  <c r="W108" i="1"/>
  <c r="Y106" i="1"/>
  <c r="X106" i="1"/>
  <c r="D39" i="1"/>
  <c r="C44" i="1"/>
  <c r="AI41" i="1"/>
  <c r="AK41" i="1" s="1"/>
  <c r="H42" i="1"/>
  <c r="AH42" i="1"/>
  <c r="C49" i="1"/>
  <c r="E46" i="1"/>
  <c r="P46" i="1"/>
  <c r="C54" i="1"/>
  <c r="AI51" i="1"/>
  <c r="E51" i="1"/>
  <c r="AH52" i="1"/>
  <c r="AJ52" i="1" s="1"/>
  <c r="U52" i="1"/>
  <c r="T52" i="1"/>
  <c r="AB61" i="1"/>
  <c r="H62" i="1"/>
  <c r="D64" i="1"/>
  <c r="Y64" i="1"/>
  <c r="AG71" i="1"/>
  <c r="D79" i="1"/>
  <c r="H92" i="1"/>
  <c r="F94" i="1"/>
  <c r="AH94" i="1" s="1"/>
  <c r="AH92" i="1"/>
  <c r="M97" i="1"/>
  <c r="D98" i="1"/>
  <c r="I36" i="1"/>
  <c r="W39" i="1"/>
  <c r="Y36" i="1"/>
  <c r="P37" i="1"/>
  <c r="F39" i="1"/>
  <c r="AH39" i="1" s="1"/>
  <c r="E41" i="1"/>
  <c r="D51" i="1"/>
  <c r="AI52" i="1"/>
  <c r="E52" i="1"/>
  <c r="X57" i="1"/>
  <c r="AC61" i="1"/>
  <c r="M62" i="1"/>
  <c r="L62" i="1"/>
  <c r="AH66" i="1"/>
  <c r="AJ66" i="1" s="1"/>
  <c r="K79" i="1"/>
  <c r="M76" i="1"/>
  <c r="V79" i="1"/>
  <c r="X79" i="1" s="1"/>
  <c r="X78" i="1"/>
  <c r="H98" i="1"/>
  <c r="Y103" i="1"/>
  <c r="AF101" i="1"/>
  <c r="AG101" i="1"/>
  <c r="Q118" i="1"/>
  <c r="F54" i="1"/>
  <c r="I51" i="1"/>
  <c r="H51" i="1"/>
  <c r="B54" i="1"/>
  <c r="F64" i="1"/>
  <c r="AD64" i="1"/>
  <c r="O69" i="1"/>
  <c r="P69" i="1" s="1"/>
  <c r="Q66" i="1"/>
  <c r="P66" i="1"/>
  <c r="AI66" i="1"/>
  <c r="AH73" i="1"/>
  <c r="AJ73" i="1" s="1"/>
  <c r="I74" i="1"/>
  <c r="AC91" i="1"/>
  <c r="AB91" i="1"/>
  <c r="H117" i="1"/>
  <c r="F118" i="1"/>
  <c r="I77" i="1"/>
  <c r="AI84" i="1"/>
  <c r="AK84" i="1" s="1"/>
  <c r="AH87" i="1"/>
  <c r="M89" i="1"/>
  <c r="AG91" i="1"/>
  <c r="E101" i="1"/>
  <c r="AH107" i="1"/>
  <c r="AJ107" i="1" s="1"/>
  <c r="P107" i="1"/>
  <c r="AC111" i="1"/>
  <c r="K118" i="1"/>
  <c r="M115" i="1"/>
  <c r="AG66" i="1"/>
  <c r="AF66" i="1"/>
  <c r="AH68" i="1"/>
  <c r="AJ68" i="1" s="1"/>
  <c r="AG87" i="1"/>
  <c r="X94" i="1"/>
  <c r="AE98" i="1"/>
  <c r="AG98" i="1" s="1"/>
  <c r="AE108" i="1"/>
  <c r="AG108" i="1" s="1"/>
  <c r="AG105" i="1"/>
  <c r="F113" i="1"/>
  <c r="I110" i="1"/>
  <c r="D66" i="1"/>
  <c r="C74" i="1"/>
  <c r="D74" i="1" s="1"/>
  <c r="AI71" i="1"/>
  <c r="AK71" i="1" s="1"/>
  <c r="E71" i="1"/>
  <c r="D89" i="1"/>
  <c r="AI92" i="1"/>
  <c r="AK92" i="1" s="1"/>
  <c r="D92" i="1"/>
  <c r="W94" i="1"/>
  <c r="Y94" i="1" s="1"/>
  <c r="AF96" i="1"/>
  <c r="N103" i="1"/>
  <c r="O103" i="1"/>
  <c r="Q103" i="1" s="1"/>
  <c r="AH105" i="1"/>
  <c r="Z113" i="1"/>
  <c r="AJ115" i="1"/>
  <c r="AI106" i="1"/>
  <c r="AK106" i="1" s="1"/>
  <c r="AH43" i="1"/>
  <c r="AJ43" i="1" s="1"/>
  <c r="Q72" i="1"/>
  <c r="J74" i="1"/>
  <c r="Y89" i="1"/>
  <c r="I92" i="1"/>
  <c r="R108" i="1"/>
  <c r="T108" i="1" s="1"/>
  <c r="T105" i="1"/>
  <c r="H106" i="1"/>
  <c r="G108" i="1"/>
  <c r="H111" i="1"/>
  <c r="V118" i="1"/>
  <c r="X115" i="1"/>
  <c r="AD118" i="1"/>
  <c r="AA59" i="1"/>
  <c r="AC59" i="1" s="1"/>
  <c r="V69" i="1"/>
  <c r="X69" i="1" s="1"/>
  <c r="V74" i="1"/>
  <c r="X71" i="1"/>
  <c r="AD79" i="1"/>
  <c r="V84" i="1"/>
  <c r="X84" i="1" s="1"/>
  <c r="P86" i="1"/>
  <c r="U87" i="1"/>
  <c r="T87" i="1"/>
  <c r="Z89" i="1"/>
  <c r="N94" i="1"/>
  <c r="P94" i="1" s="1"/>
  <c r="G94" i="1"/>
  <c r="I94" i="1" s="1"/>
  <c r="AI96" i="1"/>
  <c r="E97" i="1"/>
  <c r="AI97" i="1"/>
  <c r="AK97" i="1" s="1"/>
  <c r="Y97" i="1"/>
  <c r="AK104" i="1"/>
  <c r="U105" i="1"/>
  <c r="S108" i="1"/>
  <c r="I106" i="1"/>
  <c r="N108" i="1"/>
  <c r="Q108" i="1" s="1"/>
  <c r="W118" i="1"/>
  <c r="Y118" i="1" s="1"/>
  <c r="Y115" i="1"/>
  <c r="AB41" i="1"/>
  <c r="O59" i="1"/>
  <c r="Q59" i="1" s="1"/>
  <c r="X66" i="1"/>
  <c r="AG67" i="1"/>
  <c r="AF67" i="1"/>
  <c r="AI72" i="1"/>
  <c r="AK72" i="1" s="1"/>
  <c r="E72" i="1"/>
  <c r="AF72" i="1"/>
  <c r="AH76" i="1"/>
  <c r="AJ76" i="1" s="1"/>
  <c r="AG77" i="1"/>
  <c r="U86" i="1"/>
  <c r="T86" i="1"/>
  <c r="AH88" i="1"/>
  <c r="AJ88" i="1" s="1"/>
  <c r="H88" i="1"/>
  <c r="AB92" i="1"/>
  <c r="W98" i="1"/>
  <c r="Y98" i="1" s="1"/>
  <c r="E100" i="1"/>
  <c r="AI100" i="1"/>
  <c r="AI101" i="1"/>
  <c r="AK101" i="1" s="1"/>
  <c r="C108" i="1"/>
  <c r="AI105" i="1"/>
  <c r="AK105" i="1" s="1"/>
  <c r="E105" i="1"/>
  <c r="V108" i="1"/>
  <c r="X108" i="1" s="1"/>
  <c r="L112" i="1"/>
  <c r="J113" i="1"/>
  <c r="L113" i="1" s="1"/>
  <c r="AH117" i="1"/>
  <c r="AJ117" i="1" s="1"/>
  <c r="E79" i="1"/>
  <c r="E87" i="1"/>
  <c r="D87" i="1"/>
  <c r="AF91" i="1"/>
  <c r="AD94" i="1"/>
  <c r="AF94" i="1" s="1"/>
  <c r="P98" i="1"/>
  <c r="C103" i="1"/>
  <c r="N113" i="1"/>
  <c r="J118" i="1"/>
  <c r="L118" i="1" s="1"/>
  <c r="L115" i="1"/>
  <c r="I118" i="1"/>
  <c r="P89" i="1"/>
  <c r="AH100" i="1"/>
  <c r="AJ100" i="1" s="1"/>
  <c r="AA103" i="1"/>
  <c r="AC103" i="1" s="1"/>
  <c r="X105" i="1"/>
  <c r="C98" i="1"/>
  <c r="M100" i="1"/>
  <c r="Y100" i="1"/>
  <c r="E106" i="1"/>
  <c r="AF92" i="1"/>
  <c r="T101" i="1"/>
  <c r="S103" i="1"/>
  <c r="P105" i="1"/>
  <c r="AC105" i="1"/>
  <c r="K108" i="1"/>
  <c r="E110" i="1"/>
  <c r="Q110" i="1"/>
  <c r="AC110" i="1"/>
  <c r="E111" i="1"/>
  <c r="T115" i="1"/>
  <c r="E118" i="1"/>
  <c r="AH78" i="1"/>
  <c r="AJ78" i="1" s="1"/>
  <c r="X98" i="1"/>
  <c r="H91" i="1"/>
  <c r="D96" i="1"/>
  <c r="L98" i="1"/>
  <c r="P106" i="1"/>
  <c r="AC106" i="1"/>
  <c r="AI110" i="1"/>
  <c r="U103" i="1" l="1"/>
  <c r="T103" i="1"/>
  <c r="H113" i="1"/>
  <c r="I113" i="1"/>
  <c r="U113" i="1"/>
  <c r="AK96" i="1"/>
  <c r="AJ96" i="1"/>
  <c r="Y39" i="1"/>
  <c r="E49" i="1"/>
  <c r="AI49" i="1"/>
  <c r="AK49" i="1" s="1"/>
  <c r="AC69" i="1"/>
  <c r="AB69" i="1"/>
  <c r="AB103" i="1"/>
  <c r="AJ72" i="1"/>
  <c r="R119" i="1"/>
  <c r="T19" i="1"/>
  <c r="T24" i="1"/>
  <c r="AG24" i="1"/>
  <c r="T34" i="1"/>
  <c r="E64" i="1"/>
  <c r="AI64" i="1"/>
  <c r="J119" i="1"/>
  <c r="L19" i="1"/>
  <c r="U54" i="1"/>
  <c r="T54" i="1"/>
  <c r="X74" i="1"/>
  <c r="Y74" i="1"/>
  <c r="P103" i="1"/>
  <c r="H54" i="1"/>
  <c r="I54" i="1"/>
  <c r="AI94" i="1"/>
  <c r="AK94" i="1" s="1"/>
  <c r="E94" i="1"/>
  <c r="AH59" i="1"/>
  <c r="D59" i="1"/>
  <c r="AI29" i="1"/>
  <c r="Q113" i="1"/>
  <c r="P113" i="1"/>
  <c r="M74" i="1"/>
  <c r="L74" i="1"/>
  <c r="AK66" i="1"/>
  <c r="AK42" i="1"/>
  <c r="AJ42" i="1"/>
  <c r="AG74" i="1"/>
  <c r="AF74" i="1"/>
  <c r="M13" i="1"/>
  <c r="AF34" i="1"/>
  <c r="AE119" i="1"/>
  <c r="Q24" i="1"/>
  <c r="P24" i="1"/>
  <c r="AK56" i="1"/>
  <c r="AF89" i="1"/>
  <c r="AJ61" i="1"/>
  <c r="AJ41" i="1"/>
  <c r="U29" i="1"/>
  <c r="AK16" i="1"/>
  <c r="I79" i="1"/>
  <c r="H79" i="1"/>
  <c r="E103" i="1"/>
  <c r="AI103" i="1"/>
  <c r="F120" i="1"/>
  <c r="H13" i="1"/>
  <c r="AJ92" i="1"/>
  <c r="AI44" i="1"/>
  <c r="AK44" i="1" s="1"/>
  <c r="E44" i="1"/>
  <c r="AJ36" i="1"/>
  <c r="H59" i="1"/>
  <c r="I59" i="1"/>
  <c r="AK62" i="1"/>
  <c r="AH44" i="1"/>
  <c r="D44" i="1"/>
  <c r="U39" i="1"/>
  <c r="D49" i="1"/>
  <c r="M94" i="1"/>
  <c r="K119" i="1"/>
  <c r="M119" i="1" s="1"/>
  <c r="U59" i="1"/>
  <c r="T59" i="1"/>
  <c r="I12" i="1"/>
  <c r="G13" i="1"/>
  <c r="AA119" i="1"/>
  <c r="AC19" i="1"/>
  <c r="AA13" i="1"/>
  <c r="AC12" i="1"/>
  <c r="AH29" i="1"/>
  <c r="AJ29" i="1" s="1"/>
  <c r="E29" i="1"/>
  <c r="D29" i="1"/>
  <c r="AH24" i="1"/>
  <c r="AJ24" i="1" s="1"/>
  <c r="D24" i="1"/>
  <c r="M113" i="1"/>
  <c r="Q34" i="1"/>
  <c r="D103" i="1"/>
  <c r="AG113" i="1"/>
  <c r="AF64" i="1"/>
  <c r="AG64" i="1"/>
  <c r="AK52" i="1"/>
  <c r="H94" i="1"/>
  <c r="Q74" i="1"/>
  <c r="AF108" i="1"/>
  <c r="AH103" i="1"/>
  <c r="AJ103" i="1" s="1"/>
  <c r="AJ101" i="1"/>
  <c r="AJ86" i="1"/>
  <c r="AJ22" i="1"/>
  <c r="AK21" i="1"/>
  <c r="AB34" i="1"/>
  <c r="C119" i="1"/>
  <c r="M19" i="1"/>
  <c r="AJ106" i="1"/>
  <c r="Z119" i="1"/>
  <c r="AB19" i="1"/>
  <c r="P59" i="1"/>
  <c r="J120" i="1"/>
  <c r="L13" i="1"/>
  <c r="N119" i="1"/>
  <c r="P119" i="1" s="1"/>
  <c r="M59" i="1"/>
  <c r="AI59" i="1"/>
  <c r="AK59" i="1" s="1"/>
  <c r="AG118" i="1"/>
  <c r="AF118" i="1"/>
  <c r="E108" i="1"/>
  <c r="AI108" i="1"/>
  <c r="AI89" i="1"/>
  <c r="AJ97" i="1"/>
  <c r="Q54" i="1"/>
  <c r="P54" i="1"/>
  <c r="AC29" i="1"/>
  <c r="AB29" i="1"/>
  <c r="H24" i="1"/>
  <c r="AK76" i="1"/>
  <c r="AJ91" i="1"/>
  <c r="AJ31" i="1"/>
  <c r="AH74" i="1"/>
  <c r="AJ74" i="1" s="1"/>
  <c r="AJ27" i="1"/>
  <c r="T84" i="1"/>
  <c r="AH84" i="1"/>
  <c r="AJ84" i="1" s="1"/>
  <c r="R120" i="1"/>
  <c r="T13" i="1"/>
  <c r="AK116" i="1"/>
  <c r="G119" i="1"/>
  <c r="I119" i="1" s="1"/>
  <c r="I19" i="1"/>
  <c r="AK8" i="1"/>
  <c r="U69" i="1"/>
  <c r="T69" i="1"/>
  <c r="AD119" i="1"/>
  <c r="AF119" i="1" s="1"/>
  <c r="AF19" i="1"/>
  <c r="AJ9" i="1"/>
  <c r="AB89" i="1"/>
  <c r="AC89" i="1"/>
  <c r="X118" i="1"/>
  <c r="AF98" i="1"/>
  <c r="AK100" i="1"/>
  <c r="I108" i="1"/>
  <c r="H108" i="1"/>
  <c r="AI118" i="1"/>
  <c r="AI74" i="1"/>
  <c r="E74" i="1"/>
  <c r="AH118" i="1"/>
  <c r="AJ118" i="1" s="1"/>
  <c r="H118" i="1"/>
  <c r="AB59" i="1"/>
  <c r="P49" i="1"/>
  <c r="AH89" i="1"/>
  <c r="AJ89" i="1" s="1"/>
  <c r="U94" i="1"/>
  <c r="AJ71" i="1"/>
  <c r="F119" i="1"/>
  <c r="H19" i="1"/>
  <c r="AB74" i="1"/>
  <c r="AI24" i="1"/>
  <c r="AG59" i="1"/>
  <c r="AF59" i="1"/>
  <c r="O13" i="1"/>
  <c r="P13" i="1" s="1"/>
  <c r="Q12" i="1"/>
  <c r="H12" i="1"/>
  <c r="Q29" i="1"/>
  <c r="M79" i="1"/>
  <c r="AI79" i="1"/>
  <c r="Q69" i="1"/>
  <c r="AI69" i="1"/>
  <c r="AK110" i="1"/>
  <c r="H64" i="1"/>
  <c r="I64" i="1"/>
  <c r="AH64" i="1"/>
  <c r="AJ64" i="1" s="1"/>
  <c r="M108" i="1"/>
  <c r="L108" i="1"/>
  <c r="AG79" i="1"/>
  <c r="AF79" i="1"/>
  <c r="AB113" i="1"/>
  <c r="AC113" i="1"/>
  <c r="AH54" i="1"/>
  <c r="D54" i="1"/>
  <c r="H89" i="1"/>
  <c r="AK51" i="1"/>
  <c r="Y108" i="1"/>
  <c r="AJ77" i="1"/>
  <c r="AB49" i="1"/>
  <c r="M49" i="1"/>
  <c r="B119" i="1"/>
  <c r="AH19" i="1"/>
  <c r="AJ19" i="1" s="1"/>
  <c r="D19" i="1"/>
  <c r="Y12" i="1"/>
  <c r="W13" i="1"/>
  <c r="W119" i="1"/>
  <c r="X34" i="1"/>
  <c r="AJ57" i="1"/>
  <c r="Y59" i="1"/>
  <c r="L34" i="1"/>
  <c r="AD120" i="1"/>
  <c r="E24" i="1"/>
  <c r="AH13" i="1"/>
  <c r="AC24" i="1"/>
  <c r="I69" i="1"/>
  <c r="H69" i="1"/>
  <c r="AH69" i="1"/>
  <c r="AJ69" i="1" s="1"/>
  <c r="D94" i="1"/>
  <c r="AG12" i="1"/>
  <c r="AE13" i="1"/>
  <c r="AF13" i="1" s="1"/>
  <c r="U12" i="1"/>
  <c r="S13" i="1"/>
  <c r="S119" i="1"/>
  <c r="U119" i="1" s="1"/>
  <c r="P108" i="1"/>
  <c r="AH108" i="1"/>
  <c r="AJ108" i="1" s="1"/>
  <c r="AJ87" i="1"/>
  <c r="AK87" i="1"/>
  <c r="AI98" i="1"/>
  <c r="E98" i="1"/>
  <c r="U108" i="1"/>
  <c r="E59" i="1"/>
  <c r="L79" i="1"/>
  <c r="AJ105" i="1"/>
  <c r="AK111" i="1"/>
  <c r="M118" i="1"/>
  <c r="H39" i="1"/>
  <c r="I39" i="1"/>
  <c r="AH79" i="1"/>
  <c r="AJ79" i="1" s="1"/>
  <c r="AI54" i="1"/>
  <c r="AK54" i="1" s="1"/>
  <c r="E54" i="1"/>
  <c r="AC44" i="1"/>
  <c r="AB44" i="1"/>
  <c r="Q94" i="1"/>
  <c r="E39" i="1"/>
  <c r="AI39" i="1"/>
  <c r="AK39" i="1" s="1"/>
  <c r="AJ67" i="1"/>
  <c r="AK67" i="1"/>
  <c r="E34" i="1"/>
  <c r="AI34" i="1"/>
  <c r="AH34" i="1"/>
  <c r="AJ34" i="1" s="1"/>
  <c r="V119" i="1"/>
  <c r="X119" i="1" s="1"/>
  <c r="X19" i="1"/>
  <c r="AB54" i="1"/>
  <c r="AK26" i="1"/>
  <c r="AG94" i="1"/>
  <c r="AI12" i="1"/>
  <c r="AK12" i="1" s="1"/>
  <c r="E12" i="1"/>
  <c r="C13" i="1"/>
  <c r="AH113" i="1"/>
  <c r="E113" i="1"/>
  <c r="D113" i="1"/>
  <c r="P39" i="1"/>
  <c r="AK46" i="1"/>
  <c r="X13" i="1"/>
  <c r="AF12" i="1"/>
  <c r="AH119" i="1" l="1"/>
  <c r="D119" i="1"/>
  <c r="B120" i="1"/>
  <c r="R121" i="1"/>
  <c r="AJ113" i="1"/>
  <c r="AK113" i="1"/>
  <c r="N120" i="1"/>
  <c r="AK34" i="1"/>
  <c r="AK108" i="1"/>
  <c r="AK103" i="1"/>
  <c r="AG119" i="1"/>
  <c r="AD121" i="1"/>
  <c r="AE120" i="1"/>
  <c r="AG13" i="1"/>
  <c r="AA120" i="1"/>
  <c r="AC13" i="1"/>
  <c r="AB13" i="1"/>
  <c r="AJ12" i="1"/>
  <c r="T119" i="1"/>
  <c r="AB119" i="1"/>
  <c r="Z120" i="1"/>
  <c r="F121" i="1"/>
  <c r="AK24" i="1"/>
  <c r="AK74" i="1"/>
  <c r="AI119" i="1"/>
  <c r="AK119" i="1" s="1"/>
  <c r="E119" i="1"/>
  <c r="AJ44" i="1"/>
  <c r="AJ49" i="1"/>
  <c r="J121" i="1"/>
  <c r="L120" i="1"/>
  <c r="O120" i="1"/>
  <c r="Q13" i="1"/>
  <c r="AK118" i="1"/>
  <c r="AC119" i="1"/>
  <c r="AK29" i="1"/>
  <c r="S120" i="1"/>
  <c r="T120" i="1" s="1"/>
  <c r="U13" i="1"/>
  <c r="Y119" i="1"/>
  <c r="AK69" i="1"/>
  <c r="G120" i="1"/>
  <c r="I13" i="1"/>
  <c r="L119" i="1"/>
  <c r="AJ39" i="1"/>
  <c r="AJ13" i="1"/>
  <c r="C120" i="1"/>
  <c r="AI13" i="1"/>
  <c r="AK13" i="1" s="1"/>
  <c r="E13" i="1"/>
  <c r="D13" i="1"/>
  <c r="AK89" i="1"/>
  <c r="AK19" i="1"/>
  <c r="V120" i="1"/>
  <c r="AK98" i="1"/>
  <c r="AJ98" i="1"/>
  <c r="W120" i="1"/>
  <c r="Y13" i="1"/>
  <c r="AJ54" i="1"/>
  <c r="H119" i="1"/>
  <c r="K120" i="1"/>
  <c r="AJ59" i="1"/>
  <c r="AK64" i="1"/>
  <c r="AJ94" i="1"/>
  <c r="AK79" i="1"/>
  <c r="Q119" i="1"/>
  <c r="Z121" i="1" l="1"/>
  <c r="AB120" i="1"/>
  <c r="C121" i="1"/>
  <c r="E120" i="1"/>
  <c r="AI120" i="1"/>
  <c r="L121" i="1"/>
  <c r="T121" i="1"/>
  <c r="W121" i="1"/>
  <c r="Y121" i="1" s="1"/>
  <c r="Y120" i="1"/>
  <c r="G121" i="1"/>
  <c r="I121" i="1" s="1"/>
  <c r="I120" i="1"/>
  <c r="X120" i="1"/>
  <c r="V121" i="1"/>
  <c r="S121" i="1"/>
  <c r="U121" i="1" s="1"/>
  <c r="U120" i="1"/>
  <c r="AE121" i="1"/>
  <c r="AG121" i="1" s="1"/>
  <c r="AG120" i="1"/>
  <c r="D120" i="1"/>
  <c r="B121" i="1"/>
  <c r="AH120" i="1"/>
  <c r="AJ120" i="1" s="1"/>
  <c r="O121" i="1"/>
  <c r="Q121" i="1" s="1"/>
  <c r="Q120" i="1"/>
  <c r="AA121" i="1"/>
  <c r="AC121" i="1" s="1"/>
  <c r="AC120" i="1"/>
  <c r="AF120" i="1"/>
  <c r="P120" i="1"/>
  <c r="N121" i="1"/>
  <c r="K121" i="1"/>
  <c r="M121" i="1" s="1"/>
  <c r="M120" i="1"/>
  <c r="H120" i="1"/>
  <c r="AF121" i="1"/>
  <c r="AJ119" i="1"/>
  <c r="AK120" i="1" l="1"/>
  <c r="P121" i="1"/>
  <c r="AH121" i="1"/>
  <c r="D121" i="1"/>
  <c r="AI121" i="1"/>
  <c r="AK121" i="1" s="1"/>
  <c r="E121" i="1"/>
  <c r="H121" i="1"/>
  <c r="X121" i="1"/>
  <c r="AB121" i="1"/>
  <c r="AJ121" i="1" l="1"/>
</calcChain>
</file>

<file path=xl/sharedStrings.xml><?xml version="1.0" encoding="utf-8"?>
<sst xmlns="http://schemas.openxmlformats.org/spreadsheetml/2006/main" count="164" uniqueCount="132">
  <si>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</si>
  <si>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</si>
  <si>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</si>
  <si>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</si>
  <si>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</si>
  <si>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</si>
  <si>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</si>
  <si>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</si>
  <si>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</si>
  <si>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</si>
  <si>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</si>
  <si>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</si>
  <si>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</si>
  <si>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</si>
  <si>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</si>
  <si>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</si>
  <si>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4030-00 MCRS-MRS Grant</t>
  </si>
  <si>
    <t xml:space="preserve">   Sales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</si>
  <si>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</si>
  <si>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</si>
  <si>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</si>
  <si>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</si>
  <si>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</si>
  <si>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</si>
  <si>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</si>
  <si>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</si>
  <si>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</si>
  <si>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</si>
  <si>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</si>
  <si>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</si>
  <si>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</si>
  <si>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</si>
  <si>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</si>
  <si>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</si>
  <si>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</si>
  <si>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</si>
  <si>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</si>
  <si>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</si>
  <si>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</si>
  <si>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</si>
  <si>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</si>
  <si>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</si>
  <si>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</si>
  <si>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</si>
  <si>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</si>
  <si>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</si>
  <si>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</si>
  <si>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</si>
  <si>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</si>
  <si>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</si>
  <si>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</si>
  <si>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</si>
  <si>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</si>
  <si>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</si>
  <si>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</si>
  <si>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</si>
  <si>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</si>
  <si>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</si>
  <si>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</si>
  <si>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</si>
  <si>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</si>
  <si>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</si>
  <si>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</si>
  <si>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</si>
  <si>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</si>
  <si>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</si>
  <si>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</si>
  <si>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</si>
  <si>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</si>
  <si>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</si>
  <si>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</si>
  <si>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</si>
  <si>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</si>
  <si>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</si>
  <si>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</si>
  <si>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</si>
  <si>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</si>
  <si>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</si>
  <si>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</si>
  <si>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</si>
  <si>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</si>
  <si>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</si>
  <si>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</si>
  <si>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</si>
  <si>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</si>
  <si>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</si>
  <si>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</si>
  <si>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</si>
  <si>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</si>
  <si>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   6400-99 Postage-Unallocated</t>
  </si>
  <si>
    <t xml:space="preserve">   Total 6400-00 Postage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</si>
  <si>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</si>
  <si>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</si>
  <si>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</si>
  <si>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</si>
  <si>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</si>
  <si>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</si>
  <si>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</si>
  <si>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</si>
  <si>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</si>
  <si>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</si>
  <si>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</si>
  <si>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</si>
  <si>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</si>
  <si>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</si>
  <si>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</si>
  <si>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</si>
  <si>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</si>
  <si>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</si>
  <si>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</si>
  <si>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</si>
  <si>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</si>
  <si>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</si>
  <si>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   7100-99 Council Meeting-Unallocated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</si>
  <si>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</si>
  <si>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</si>
  <si>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</si>
  <si>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</si>
  <si>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</si>
  <si>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</si>
  <si>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</si>
  <si>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</si>
  <si>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</si>
  <si>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</si>
  <si>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</si>
  <si>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</si>
  <si>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</si>
  <si>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</si>
  <si>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Friday, Jun 02, 2023 10:42:41 AM GMT-7 - Accrual Basis</t>
  </si>
  <si>
    <t>Michigan Statewide Independent Living Corp</t>
  </si>
  <si>
    <t xml:space="preserve">Budget vs. Actuals: FY2023 Budget - FY23 P&amp;L </t>
  </si>
  <si>
    <t>October 2022 -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</si>
</sst>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5"/>
  <sheetViews>
    <sheetView tabSelected="1" workbookViewId="0">
      <selection activeCell="A4" sqref="A1:A1048576"/>
    </sheetView>
  </sheetViews>
  <sheetFormatPr defaultRowHeight="15" x14ac:dyDescent="0.25"/>
  <cols>
    <col min="1" max="1" width="36.140625" customWidth="1"/>
    <col min="2" max="3" width="9.42578125" customWidth="1"/>
    <col min="4" max="4" width="11.140625" customWidth="1"/>
    <col min="5" max="5" width="7.7109375" hidden="1" customWidth="1"/>
    <col min="6" max="7" width="9.42578125" customWidth="1"/>
    <col min="8" max="8" width="11.140625" customWidth="1"/>
    <col min="9" max="9" width="7.7109375" hidden="1" customWidth="1"/>
    <col min="10" max="11" width="9.42578125" customWidth="1"/>
    <col min="12" max="12" width="10.28515625" customWidth="1"/>
    <col min="13" max="13" width="7.7109375" hidden="1" customWidth="1"/>
    <col min="14" max="15" width="9.42578125" customWidth="1"/>
    <col min="16" max="16" width="10.28515625" customWidth="1"/>
    <col min="17" max="17" width="9.42578125" hidden="1" customWidth="1"/>
    <col min="18" max="19" width="9.42578125" customWidth="1"/>
    <col min="20" max="20" width="10.28515625" customWidth="1"/>
    <col min="21" max="21" width="7.7109375" hidden="1" customWidth="1"/>
    <col min="22" max="22" width="10.28515625" customWidth="1"/>
    <col min="23" max="23" width="9.42578125" customWidth="1"/>
    <col min="24" max="24" width="10.28515625" customWidth="1"/>
    <col min="25" max="25" width="9.42578125" hidden="1" customWidth="1"/>
    <col min="26" max="27" width="9.42578125" customWidth="1"/>
    <col min="28" max="28" width="10.28515625" customWidth="1"/>
    <col min="29" max="29" width="7.7109375" hidden="1" customWidth="1"/>
    <col min="30" max="31" width="9.42578125" customWidth="1"/>
    <col min="32" max="32" width="10.28515625" customWidth="1"/>
    <col min="33" max="33" width="8.5703125" hidden="1" customWidth="1"/>
    <col min="34" max="35" width="10.28515625" customWidth="1"/>
    <col min="36" max="36" width="11.140625" customWidth="1"/>
    <col min="37" max="37" width="7.7109375" customWidth="1"/>
  </cols>
  <sheetData>
    <row r="1" spans="1:37" ht="18" x14ac:dyDescent="0.25">
      <c r="A1" s="12" t="s">
        <v>129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8" x14ac:dyDescent="0.25">
      <c r="A2" s="12" t="s">
        <v>130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x14ac:dyDescent="0.25">
      <c r="A3" s="13" t="s">
        <v>131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5" spans="1:37" x14ac:dyDescent="0.25">
      <c r="A5" s="1"/>
      <c r="B5" s="14" t="s">
        <v>0</v>
      </c>
      <c r="C5" s="15"/>
      <c r="D5" s="15"/>
      <c r="E5" s="15"/>
      <c r="F5" s="14" t="s">
        <v>1</v>
      </c>
      <c r="G5" s="15"/>
      <c r="H5" s="15"/>
      <c r="I5" s="15"/>
      <c r="J5" s="14" t="s">
        <v>2</v>
      </c>
      <c r="K5" s="15"/>
      <c r="L5" s="15"/>
      <c r="M5" s="15"/>
      <c r="N5" s="14" t="s">
        <v>3</v>
      </c>
      <c r="O5" s="15"/>
      <c r="P5" s="15"/>
      <c r="Q5" s="15"/>
      <c r="R5" s="14" t="s">
        <v>4</v>
      </c>
      <c r="S5" s="15"/>
      <c r="T5" s="15"/>
      <c r="U5" s="15"/>
      <c r="V5" s="14" t="s">
        <v>5</v>
      </c>
      <c r="W5" s="15"/>
      <c r="X5" s="15"/>
      <c r="Y5" s="15"/>
      <c r="Z5" s="14" t="s">
        <v>6</v>
      </c>
      <c r="AA5" s="15"/>
      <c r="AB5" s="15"/>
      <c r="AC5" s="15"/>
      <c r="AD5" s="14" t="s">
        <v>7</v>
      </c>
      <c r="AE5" s="15"/>
      <c r="AF5" s="15"/>
      <c r="AG5" s="15"/>
      <c r="AH5" s="14" t="s">
        <v>8</v>
      </c>
      <c r="AI5" s="15"/>
      <c r="AJ5" s="15"/>
      <c r="AK5" s="15"/>
    </row>
    <row r="6" spans="1:37" ht="24.75" x14ac:dyDescent="0.25">
      <c r="A6" s="1"/>
      <c r="B6" s="16" t="s">
        <v>9</v>
      </c>
      <c r="C6" s="16" t="s">
        <v>10</v>
      </c>
      <c r="D6" s="16" t="s">
        <v>11</v>
      </c>
      <c r="E6" s="16" t="s">
        <v>12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9</v>
      </c>
      <c r="K6" s="16" t="s">
        <v>10</v>
      </c>
      <c r="L6" s="16" t="s">
        <v>11</v>
      </c>
      <c r="M6" s="16" t="s">
        <v>12</v>
      </c>
      <c r="N6" s="16" t="s">
        <v>9</v>
      </c>
      <c r="O6" s="16" t="s">
        <v>10</v>
      </c>
      <c r="P6" s="16" t="s">
        <v>11</v>
      </c>
      <c r="Q6" s="16" t="s">
        <v>12</v>
      </c>
      <c r="R6" s="16" t="s">
        <v>9</v>
      </c>
      <c r="S6" s="16" t="s">
        <v>10</v>
      </c>
      <c r="T6" s="16" t="s">
        <v>11</v>
      </c>
      <c r="U6" s="16" t="s">
        <v>12</v>
      </c>
      <c r="V6" s="16" t="s">
        <v>9</v>
      </c>
      <c r="W6" s="16" t="s">
        <v>10</v>
      </c>
      <c r="X6" s="16" t="s">
        <v>11</v>
      </c>
      <c r="Y6" s="16" t="s">
        <v>12</v>
      </c>
      <c r="Z6" s="16" t="s">
        <v>9</v>
      </c>
      <c r="AA6" s="16" t="s">
        <v>10</v>
      </c>
      <c r="AB6" s="16" t="s">
        <v>11</v>
      </c>
      <c r="AC6" s="16" t="s">
        <v>12</v>
      </c>
      <c r="AD6" s="16" t="s">
        <v>9</v>
      </c>
      <c r="AE6" s="16" t="s">
        <v>10</v>
      </c>
      <c r="AF6" s="16" t="s">
        <v>11</v>
      </c>
      <c r="AG6" s="16" t="s">
        <v>12</v>
      </c>
      <c r="AH6" s="16" t="s">
        <v>9</v>
      </c>
      <c r="AI6" s="16" t="s">
        <v>10</v>
      </c>
      <c r="AJ6" s="16" t="s">
        <v>11</v>
      </c>
      <c r="AK6" s="16" t="s">
        <v>12</v>
      </c>
    </row>
    <row r="7" spans="1:37" x14ac:dyDescent="0.25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25">
      <c r="A8" s="2" t="s">
        <v>14</v>
      </c>
      <c r="B8" s="4">
        <f>13557.21</f>
        <v>13557.21</v>
      </c>
      <c r="C8" s="4">
        <f>20934.75</f>
        <v>20934.75</v>
      </c>
      <c r="D8" s="4">
        <f t="shared" ref="D8:D13" si="0">(B8)-(C8)</f>
        <v>-7377.5400000000009</v>
      </c>
      <c r="E8" s="5">
        <f t="shared" ref="E8:E13" si="1">IF(C8=0,"",(B8)/(C8))</f>
        <v>0.64759359438254571</v>
      </c>
      <c r="F8" s="4">
        <f>15108.52</f>
        <v>15108.52</v>
      </c>
      <c r="G8" s="4">
        <f>20934.75</f>
        <v>20934.75</v>
      </c>
      <c r="H8" s="4">
        <f t="shared" ref="H8:H13" si="2">(F8)-(G8)</f>
        <v>-5826.23</v>
      </c>
      <c r="I8" s="5">
        <f t="shared" ref="I8:I13" si="3">IF(G8=0,"",(F8)/(G8))</f>
        <v>0.721695745112791</v>
      </c>
      <c r="J8" s="4">
        <f>21363.75</f>
        <v>21363.75</v>
      </c>
      <c r="K8" s="4">
        <f>20934.75</f>
        <v>20934.75</v>
      </c>
      <c r="L8" s="4">
        <f t="shared" ref="L8:L13" si="4">(J8)-(K8)</f>
        <v>429</v>
      </c>
      <c r="M8" s="5">
        <f t="shared" ref="M8:M13" si="5">IF(K8=0,"",(J8)/(K8))</f>
        <v>1.0204922437573891</v>
      </c>
      <c r="N8" s="4">
        <f>25689.93</f>
        <v>25689.93</v>
      </c>
      <c r="O8" s="4">
        <f>20934.75</f>
        <v>20934.75</v>
      </c>
      <c r="P8" s="4">
        <f t="shared" ref="P8:P13" si="6">(N8)-(O8)</f>
        <v>4755.18</v>
      </c>
      <c r="Q8" s="5">
        <f t="shared" ref="Q8:Q13" si="7">IF(O8=0,"",(N8)/(O8))</f>
        <v>1.2271429083222871</v>
      </c>
      <c r="R8" s="4">
        <f>16995.32</f>
        <v>16995.32</v>
      </c>
      <c r="S8" s="4">
        <f>20934.75</f>
        <v>20934.75</v>
      </c>
      <c r="T8" s="4">
        <f t="shared" ref="T8:T13" si="8">(R8)-(S8)</f>
        <v>-3939.4300000000003</v>
      </c>
      <c r="U8" s="5">
        <f t="shared" ref="U8:U13" si="9">IF(S8=0,"",(R8)/(S8))</f>
        <v>0.81182340367092987</v>
      </c>
      <c r="V8" s="4">
        <f>25773.69</f>
        <v>25773.69</v>
      </c>
      <c r="W8" s="4">
        <f>20934.75</f>
        <v>20934.75</v>
      </c>
      <c r="X8" s="4">
        <f t="shared" ref="X8:X13" si="10">(V8)-(W8)</f>
        <v>4838.9399999999987</v>
      </c>
      <c r="Y8" s="5">
        <f t="shared" ref="Y8:Y13" si="11">IF(W8=0,"",(V8)/(W8))</f>
        <v>1.2311439114391143</v>
      </c>
      <c r="Z8" s="4">
        <f>17831.42</f>
        <v>17831.419999999998</v>
      </c>
      <c r="AA8" s="4">
        <f>20934.75</f>
        <v>20934.75</v>
      </c>
      <c r="AB8" s="4">
        <f t="shared" ref="AB8:AB13" si="12">(Z8)-(AA8)</f>
        <v>-3103.3300000000017</v>
      </c>
      <c r="AC8" s="5">
        <f t="shared" ref="AC8:AC13" si="13">IF(AA8=0,"",(Z8)/(AA8))</f>
        <v>0.85176178363725374</v>
      </c>
      <c r="AD8" s="4">
        <f>18199.32</f>
        <v>18199.32</v>
      </c>
      <c r="AE8" s="4">
        <f>20934.75</f>
        <v>20934.75</v>
      </c>
      <c r="AF8" s="4">
        <f t="shared" ref="AF8:AF13" si="14">(AD8)-(AE8)</f>
        <v>-2735.4300000000003</v>
      </c>
      <c r="AG8" s="5">
        <f t="shared" ref="AG8:AG13" si="15">IF(AE8=0,"",(AD8)/(AE8))</f>
        <v>0.86933543510192379</v>
      </c>
      <c r="AH8" s="4">
        <f t="shared" ref="AH8:AI13" si="16">(((((((B8)+(F8))+(J8))+(N8))+(R8))+(V8))+(Z8))+(AD8)</f>
        <v>154519.16000000003</v>
      </c>
      <c r="AI8" s="4">
        <f t="shared" si="16"/>
        <v>167478</v>
      </c>
      <c r="AJ8" s="4">
        <f t="shared" ref="AJ8:AJ13" si="17">(AH8)-(AI8)</f>
        <v>-12958.839999999967</v>
      </c>
      <c r="AK8" s="5">
        <f t="shared" ref="AK8:AK13" si="18">IF(AI8=0,"",(AH8)/(AI8))</f>
        <v>0.92262362817802956</v>
      </c>
    </row>
    <row r="9" spans="1:37" x14ac:dyDescent="0.25">
      <c r="A9" s="2" t="s">
        <v>15</v>
      </c>
      <c r="B9" s="4">
        <f>7300.04</f>
        <v>7300.04</v>
      </c>
      <c r="C9" s="4">
        <f>11272.56</f>
        <v>11272.56</v>
      </c>
      <c r="D9" s="4">
        <f t="shared" si="0"/>
        <v>-3972.5199999999995</v>
      </c>
      <c r="E9" s="5">
        <f t="shared" si="1"/>
        <v>0.64759380300481884</v>
      </c>
      <c r="F9" s="4">
        <f>8135.35</f>
        <v>8135.35</v>
      </c>
      <c r="G9" s="4">
        <f>11272.56</f>
        <v>11272.56</v>
      </c>
      <c r="H9" s="4">
        <f t="shared" si="2"/>
        <v>-3137.2099999999991</v>
      </c>
      <c r="I9" s="5">
        <f t="shared" si="3"/>
        <v>0.72169498321587999</v>
      </c>
      <c r="J9" s="4">
        <f>11503.56</f>
        <v>11503.56</v>
      </c>
      <c r="K9" s="4">
        <f>11272.56</f>
        <v>11272.56</v>
      </c>
      <c r="L9" s="4">
        <f t="shared" si="4"/>
        <v>231</v>
      </c>
      <c r="M9" s="5">
        <f t="shared" si="5"/>
        <v>1.0204922395622644</v>
      </c>
      <c r="N9" s="4">
        <f>13833.04</f>
        <v>13833.04</v>
      </c>
      <c r="O9" s="4">
        <f>11272.56</f>
        <v>11272.56</v>
      </c>
      <c r="P9" s="4">
        <f t="shared" si="6"/>
        <v>2560.4800000000014</v>
      </c>
      <c r="Q9" s="5">
        <f t="shared" si="7"/>
        <v>1.2271427253436664</v>
      </c>
      <c r="R9" s="4">
        <f>9151.65</f>
        <v>9151.65</v>
      </c>
      <c r="S9" s="4">
        <f>11272.56</f>
        <v>11272.56</v>
      </c>
      <c r="T9" s="4">
        <f t="shared" si="8"/>
        <v>-2120.91</v>
      </c>
      <c r="U9" s="5">
        <f t="shared" si="9"/>
        <v>0.81185196619046607</v>
      </c>
      <c r="V9" s="4">
        <f>13878.14</f>
        <v>13878.14</v>
      </c>
      <c r="W9" s="4">
        <f>11272.56</f>
        <v>11272.56</v>
      </c>
      <c r="X9" s="4">
        <f t="shared" si="10"/>
        <v>2605.58</v>
      </c>
      <c r="Y9" s="5">
        <f t="shared" si="11"/>
        <v>1.2311435911629656</v>
      </c>
      <c r="Z9" s="4">
        <f>9601.52</f>
        <v>9601.52</v>
      </c>
      <c r="AA9" s="4">
        <f>11272.56</f>
        <v>11272.56</v>
      </c>
      <c r="AB9" s="4">
        <f t="shared" si="12"/>
        <v>-1671.0399999999991</v>
      </c>
      <c r="AC9" s="5">
        <f t="shared" si="13"/>
        <v>0.85176038096049178</v>
      </c>
      <c r="AD9" s="4">
        <f>9799.61</f>
        <v>9799.61</v>
      </c>
      <c r="AE9" s="4">
        <f>11272.56</f>
        <v>11272.56</v>
      </c>
      <c r="AF9" s="4">
        <f t="shared" si="14"/>
        <v>-1472.9499999999989</v>
      </c>
      <c r="AG9" s="5">
        <f t="shared" si="15"/>
        <v>0.86933314171758691</v>
      </c>
      <c r="AH9" s="4">
        <f t="shared" si="16"/>
        <v>83202.91</v>
      </c>
      <c r="AI9" s="4">
        <f t="shared" si="16"/>
        <v>90180.479999999996</v>
      </c>
      <c r="AJ9" s="4">
        <f t="shared" si="17"/>
        <v>-6977.5699999999924</v>
      </c>
      <c r="AK9" s="5">
        <f t="shared" si="18"/>
        <v>0.92262660389476758</v>
      </c>
    </row>
    <row r="10" spans="1:37" x14ac:dyDescent="0.25">
      <c r="A10" s="2" t="s">
        <v>16</v>
      </c>
      <c r="B10" s="3"/>
      <c r="C10" s="4">
        <f>1666.67</f>
        <v>1666.67</v>
      </c>
      <c r="D10" s="4">
        <f t="shared" si="0"/>
        <v>-1666.67</v>
      </c>
      <c r="E10" s="5">
        <f t="shared" si="1"/>
        <v>0</v>
      </c>
      <c r="F10" s="3"/>
      <c r="G10" s="4">
        <f>1666.67</f>
        <v>1666.67</v>
      </c>
      <c r="H10" s="4">
        <f t="shared" si="2"/>
        <v>-1666.67</v>
      </c>
      <c r="I10" s="5">
        <f t="shared" si="3"/>
        <v>0</v>
      </c>
      <c r="J10" s="3"/>
      <c r="K10" s="4">
        <f>1666.67</f>
        <v>1666.67</v>
      </c>
      <c r="L10" s="4">
        <f t="shared" si="4"/>
        <v>-1666.67</v>
      </c>
      <c r="M10" s="5">
        <f t="shared" si="5"/>
        <v>0</v>
      </c>
      <c r="N10" s="3"/>
      <c r="O10" s="4">
        <f>1666.67</f>
        <v>1666.67</v>
      </c>
      <c r="P10" s="4">
        <f t="shared" si="6"/>
        <v>-1666.67</v>
      </c>
      <c r="Q10" s="5">
        <f t="shared" si="7"/>
        <v>0</v>
      </c>
      <c r="R10" s="3"/>
      <c r="S10" s="4">
        <f>1666.67</f>
        <v>1666.67</v>
      </c>
      <c r="T10" s="4">
        <f t="shared" si="8"/>
        <v>-1666.67</v>
      </c>
      <c r="U10" s="5">
        <f t="shared" si="9"/>
        <v>0</v>
      </c>
      <c r="V10" s="3"/>
      <c r="W10" s="4">
        <f>1666.67</f>
        <v>1666.67</v>
      </c>
      <c r="X10" s="4">
        <f t="shared" si="10"/>
        <v>-1666.67</v>
      </c>
      <c r="Y10" s="5">
        <f t="shared" si="11"/>
        <v>0</v>
      </c>
      <c r="Z10" s="3"/>
      <c r="AA10" s="4">
        <f>1666.67</f>
        <v>1666.67</v>
      </c>
      <c r="AB10" s="4">
        <f t="shared" si="12"/>
        <v>-1666.67</v>
      </c>
      <c r="AC10" s="5">
        <f t="shared" si="13"/>
        <v>0</v>
      </c>
      <c r="AD10" s="3"/>
      <c r="AE10" s="4">
        <f>1666.67</f>
        <v>1666.67</v>
      </c>
      <c r="AF10" s="4">
        <f t="shared" si="14"/>
        <v>-1666.67</v>
      </c>
      <c r="AG10" s="5">
        <f t="shared" si="15"/>
        <v>0</v>
      </c>
      <c r="AH10" s="4">
        <f t="shared" si="16"/>
        <v>0</v>
      </c>
      <c r="AI10" s="4">
        <f t="shared" si="16"/>
        <v>13333.36</v>
      </c>
      <c r="AJ10" s="4">
        <f t="shared" si="17"/>
        <v>-13333.36</v>
      </c>
      <c r="AK10" s="5">
        <f t="shared" si="18"/>
        <v>0</v>
      </c>
    </row>
    <row r="11" spans="1:37" x14ac:dyDescent="0.25">
      <c r="A11" s="2" t="s">
        <v>17</v>
      </c>
      <c r="B11" s="3"/>
      <c r="C11" s="3"/>
      <c r="D11" s="4">
        <f t="shared" si="0"/>
        <v>0</v>
      </c>
      <c r="E11" s="5" t="str">
        <f t="shared" si="1"/>
        <v/>
      </c>
      <c r="F11" s="3"/>
      <c r="G11" s="3"/>
      <c r="H11" s="4">
        <f t="shared" si="2"/>
        <v>0</v>
      </c>
      <c r="I11" s="5" t="str">
        <f t="shared" si="3"/>
        <v/>
      </c>
      <c r="J11" s="3"/>
      <c r="K11" s="3"/>
      <c r="L11" s="4">
        <f t="shared" si="4"/>
        <v>0</v>
      </c>
      <c r="M11" s="5" t="str">
        <f t="shared" si="5"/>
        <v/>
      </c>
      <c r="N11" s="3"/>
      <c r="O11" s="3"/>
      <c r="P11" s="4">
        <f t="shared" si="6"/>
        <v>0</v>
      </c>
      <c r="Q11" s="5" t="str">
        <f t="shared" si="7"/>
        <v/>
      </c>
      <c r="R11" s="3"/>
      <c r="S11" s="3"/>
      <c r="T11" s="4">
        <f t="shared" si="8"/>
        <v>0</v>
      </c>
      <c r="U11" s="5" t="str">
        <f t="shared" si="9"/>
        <v/>
      </c>
      <c r="V11" s="3"/>
      <c r="W11" s="3"/>
      <c r="X11" s="4">
        <f t="shared" si="10"/>
        <v>0</v>
      </c>
      <c r="Y11" s="5" t="str">
        <f t="shared" si="11"/>
        <v/>
      </c>
      <c r="Z11" s="4">
        <f>0.02</f>
        <v>0.02</v>
      </c>
      <c r="AA11" s="3"/>
      <c r="AB11" s="4">
        <f t="shared" si="12"/>
        <v>0.02</v>
      </c>
      <c r="AC11" s="5" t="str">
        <f t="shared" si="13"/>
        <v/>
      </c>
      <c r="AD11" s="3"/>
      <c r="AE11" s="3"/>
      <c r="AF11" s="4">
        <f t="shared" si="14"/>
        <v>0</v>
      </c>
      <c r="AG11" s="5" t="str">
        <f t="shared" si="15"/>
        <v/>
      </c>
      <c r="AH11" s="4">
        <f t="shared" si="16"/>
        <v>0.02</v>
      </c>
      <c r="AI11" s="4">
        <f t="shared" si="16"/>
        <v>0</v>
      </c>
      <c r="AJ11" s="4">
        <f t="shared" si="17"/>
        <v>0.02</v>
      </c>
      <c r="AK11" s="5" t="str">
        <f t="shared" si="18"/>
        <v/>
      </c>
    </row>
    <row r="12" spans="1:37" x14ac:dyDescent="0.25">
      <c r="A12" s="2" t="s">
        <v>18</v>
      </c>
      <c r="B12" s="6">
        <f>(((B8)+(B9))+(B10))+(B11)</f>
        <v>20857.25</v>
      </c>
      <c r="C12" s="6">
        <f>(((C8)+(C9))+(C10))+(C11)</f>
        <v>33873.979999999996</v>
      </c>
      <c r="D12" s="6">
        <f t="shared" si="0"/>
        <v>-13016.729999999996</v>
      </c>
      <c r="E12" s="7">
        <f t="shared" si="1"/>
        <v>0.61573071720535943</v>
      </c>
      <c r="F12" s="6">
        <f>(((F8)+(F9))+(F10))+(F11)</f>
        <v>23243.870000000003</v>
      </c>
      <c r="G12" s="6">
        <f>(((G8)+(G9))+(G10))+(G11)</f>
        <v>33873.979999999996</v>
      </c>
      <c r="H12" s="6">
        <f t="shared" si="2"/>
        <v>-10630.109999999993</v>
      </c>
      <c r="I12" s="7">
        <f t="shared" si="3"/>
        <v>0.6861865656176217</v>
      </c>
      <c r="J12" s="6">
        <f>(((J8)+(J9))+(J10))+(J11)</f>
        <v>32867.31</v>
      </c>
      <c r="K12" s="6">
        <f>(((K8)+(K9))+(K10))+(K11)</f>
        <v>33873.979999999996</v>
      </c>
      <c r="L12" s="6">
        <f t="shared" si="4"/>
        <v>-1006.6699999999983</v>
      </c>
      <c r="M12" s="7">
        <f t="shared" si="5"/>
        <v>0.97028190959550664</v>
      </c>
      <c r="N12" s="6">
        <f>(((N8)+(N9))+(N10))+(N11)</f>
        <v>39522.97</v>
      </c>
      <c r="O12" s="6">
        <f>(((O8)+(O9))+(O10))+(O11)</f>
        <v>33873.979999999996</v>
      </c>
      <c r="P12" s="6">
        <f t="shared" si="6"/>
        <v>5648.9900000000052</v>
      </c>
      <c r="Q12" s="7">
        <f t="shared" si="7"/>
        <v>1.1667648738057945</v>
      </c>
      <c r="R12" s="6">
        <f>(((R8)+(R9))+(R10))+(R11)</f>
        <v>26146.97</v>
      </c>
      <c r="S12" s="6">
        <f>(((S8)+(S9))+(S10))+(S11)</f>
        <v>33873.979999999996</v>
      </c>
      <c r="T12" s="6">
        <f t="shared" si="8"/>
        <v>-7727.0099999999948</v>
      </c>
      <c r="U12" s="7">
        <f t="shared" si="9"/>
        <v>0.7718895151972105</v>
      </c>
      <c r="V12" s="6">
        <f>(((V8)+(V9))+(V10))+(V11)</f>
        <v>39651.83</v>
      </c>
      <c r="W12" s="6">
        <f>(((W8)+(W9))+(W10))+(W11)</f>
        <v>33873.979999999996</v>
      </c>
      <c r="X12" s="6">
        <f t="shared" si="10"/>
        <v>5777.8500000000058</v>
      </c>
      <c r="Y12" s="7">
        <f t="shared" si="11"/>
        <v>1.1705689735897584</v>
      </c>
      <c r="Z12" s="6">
        <f>(((Z8)+(Z9))+(Z10))+(Z11)</f>
        <v>27432.959999999999</v>
      </c>
      <c r="AA12" s="6">
        <f>(((AA8)+(AA9))+(AA10))+(AA11)</f>
        <v>33873.979999999996</v>
      </c>
      <c r="AB12" s="6">
        <f t="shared" si="12"/>
        <v>-6441.0199999999968</v>
      </c>
      <c r="AC12" s="7">
        <f t="shared" si="13"/>
        <v>0.80985346274633219</v>
      </c>
      <c r="AD12" s="6">
        <f>(((AD8)+(AD9))+(AD10))+(AD11)</f>
        <v>27998.93</v>
      </c>
      <c r="AE12" s="6">
        <f>(((AE8)+(AE9))+(AE10))+(AE11)</f>
        <v>33873.979999999996</v>
      </c>
      <c r="AF12" s="6">
        <f t="shared" si="14"/>
        <v>-5875.0499999999956</v>
      </c>
      <c r="AG12" s="7">
        <f t="shared" si="15"/>
        <v>0.82656156731508978</v>
      </c>
      <c r="AH12" s="6">
        <f t="shared" si="16"/>
        <v>237722.09</v>
      </c>
      <c r="AI12" s="6">
        <f t="shared" si="16"/>
        <v>270991.83999999991</v>
      </c>
      <c r="AJ12" s="6">
        <f t="shared" si="17"/>
        <v>-33269.749999999913</v>
      </c>
      <c r="AK12" s="7">
        <f t="shared" si="18"/>
        <v>0.87722969813408436</v>
      </c>
    </row>
    <row r="13" spans="1:37" x14ac:dyDescent="0.25">
      <c r="A13" s="2" t="s">
        <v>19</v>
      </c>
      <c r="B13" s="6">
        <f>(B12)-(0)</f>
        <v>20857.25</v>
      </c>
      <c r="C13" s="6">
        <f>(C12)-(0)</f>
        <v>33873.979999999996</v>
      </c>
      <c r="D13" s="6">
        <f t="shared" si="0"/>
        <v>-13016.729999999996</v>
      </c>
      <c r="E13" s="7">
        <f t="shared" si="1"/>
        <v>0.61573071720535943</v>
      </c>
      <c r="F13" s="6">
        <f>(F12)-(0)</f>
        <v>23243.870000000003</v>
      </c>
      <c r="G13" s="6">
        <f>(G12)-(0)</f>
        <v>33873.979999999996</v>
      </c>
      <c r="H13" s="6">
        <f t="shared" si="2"/>
        <v>-10630.109999999993</v>
      </c>
      <c r="I13" s="7">
        <f t="shared" si="3"/>
        <v>0.6861865656176217</v>
      </c>
      <c r="J13" s="6">
        <f>(J12)-(0)</f>
        <v>32867.31</v>
      </c>
      <c r="K13" s="6">
        <f>(K12)-(0)</f>
        <v>33873.979999999996</v>
      </c>
      <c r="L13" s="6">
        <f t="shared" si="4"/>
        <v>-1006.6699999999983</v>
      </c>
      <c r="M13" s="7">
        <f t="shared" si="5"/>
        <v>0.97028190959550664</v>
      </c>
      <c r="N13" s="6">
        <f>(N12)-(0)</f>
        <v>39522.97</v>
      </c>
      <c r="O13" s="6">
        <f>(O12)-(0)</f>
        <v>33873.979999999996</v>
      </c>
      <c r="P13" s="6">
        <f t="shared" si="6"/>
        <v>5648.9900000000052</v>
      </c>
      <c r="Q13" s="7">
        <f t="shared" si="7"/>
        <v>1.1667648738057945</v>
      </c>
      <c r="R13" s="6">
        <f>(R12)-(0)</f>
        <v>26146.97</v>
      </c>
      <c r="S13" s="6">
        <f>(S12)-(0)</f>
        <v>33873.979999999996</v>
      </c>
      <c r="T13" s="6">
        <f t="shared" si="8"/>
        <v>-7727.0099999999948</v>
      </c>
      <c r="U13" s="7">
        <f t="shared" si="9"/>
        <v>0.7718895151972105</v>
      </c>
      <c r="V13" s="6">
        <f>(V12)-(0)</f>
        <v>39651.83</v>
      </c>
      <c r="W13" s="6">
        <f>(W12)-(0)</f>
        <v>33873.979999999996</v>
      </c>
      <c r="X13" s="6">
        <f t="shared" si="10"/>
        <v>5777.8500000000058</v>
      </c>
      <c r="Y13" s="7">
        <f t="shared" si="11"/>
        <v>1.1705689735897584</v>
      </c>
      <c r="Z13" s="6">
        <f>(Z12)-(0)</f>
        <v>27432.959999999999</v>
      </c>
      <c r="AA13" s="6">
        <f>(AA12)-(0)</f>
        <v>33873.979999999996</v>
      </c>
      <c r="AB13" s="6">
        <f t="shared" si="12"/>
        <v>-6441.0199999999968</v>
      </c>
      <c r="AC13" s="7">
        <f t="shared" si="13"/>
        <v>0.80985346274633219</v>
      </c>
      <c r="AD13" s="6">
        <f>(AD12)-(0)</f>
        <v>27998.93</v>
      </c>
      <c r="AE13" s="6">
        <f>(AE12)-(0)</f>
        <v>33873.979999999996</v>
      </c>
      <c r="AF13" s="6">
        <f t="shared" si="14"/>
        <v>-5875.0499999999956</v>
      </c>
      <c r="AG13" s="7">
        <f t="shared" si="15"/>
        <v>0.82656156731508978</v>
      </c>
      <c r="AH13" s="6">
        <f t="shared" si="16"/>
        <v>237722.09</v>
      </c>
      <c r="AI13" s="6">
        <f t="shared" si="16"/>
        <v>270991.83999999991</v>
      </c>
      <c r="AJ13" s="6">
        <f t="shared" si="17"/>
        <v>-33269.749999999913</v>
      </c>
      <c r="AK13" s="7">
        <f t="shared" si="18"/>
        <v>0.87722969813408436</v>
      </c>
    </row>
    <row r="14" spans="1:37" x14ac:dyDescent="0.25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5">
      <c r="A15" s="2" t="s">
        <v>21</v>
      </c>
      <c r="B15" s="3"/>
      <c r="C15" s="3"/>
      <c r="D15" s="4">
        <f t="shared" ref="D15:D46" si="19">(B15)-(C15)</f>
        <v>0</v>
      </c>
      <c r="E15" s="5" t="str">
        <f t="shared" ref="E15:E46" si="20">IF(C15=0,"",(B15)/(C15))</f>
        <v/>
      </c>
      <c r="F15" s="3"/>
      <c r="G15" s="3"/>
      <c r="H15" s="4">
        <f t="shared" ref="H15:H46" si="21">(F15)-(G15)</f>
        <v>0</v>
      </c>
      <c r="I15" s="5" t="str">
        <f t="shared" ref="I15:I46" si="22">IF(G15=0,"",(F15)/(G15))</f>
        <v/>
      </c>
      <c r="J15" s="3"/>
      <c r="K15" s="3"/>
      <c r="L15" s="4">
        <f t="shared" ref="L15:L46" si="23">(J15)-(K15)</f>
        <v>0</v>
      </c>
      <c r="M15" s="5" t="str">
        <f t="shared" ref="M15:M46" si="24">IF(K15=0,"",(J15)/(K15))</f>
        <v/>
      </c>
      <c r="N15" s="3"/>
      <c r="O15" s="3"/>
      <c r="P15" s="4">
        <f t="shared" ref="P15:P46" si="25">(N15)-(O15)</f>
        <v>0</v>
      </c>
      <c r="Q15" s="5" t="str">
        <f t="shared" ref="Q15:Q46" si="26">IF(O15=0,"",(N15)/(O15))</f>
        <v/>
      </c>
      <c r="R15" s="3"/>
      <c r="S15" s="3"/>
      <c r="T15" s="4">
        <f t="shared" ref="T15:T46" si="27">(R15)-(S15)</f>
        <v>0</v>
      </c>
      <c r="U15" s="5" t="str">
        <f t="shared" ref="U15:U46" si="28">IF(S15=0,"",(R15)/(S15))</f>
        <v/>
      </c>
      <c r="V15" s="3"/>
      <c r="W15" s="3"/>
      <c r="X15" s="4">
        <f t="shared" ref="X15:X46" si="29">(V15)-(W15)</f>
        <v>0</v>
      </c>
      <c r="Y15" s="5" t="str">
        <f t="shared" ref="Y15:Y46" si="30">IF(W15=0,"",(V15)/(W15))</f>
        <v/>
      </c>
      <c r="Z15" s="3"/>
      <c r="AA15" s="3"/>
      <c r="AB15" s="4">
        <f t="shared" ref="AB15:AB46" si="31">(Z15)-(AA15)</f>
        <v>0</v>
      </c>
      <c r="AC15" s="5" t="str">
        <f t="shared" ref="AC15:AC46" si="32">IF(AA15=0,"",(Z15)/(AA15))</f>
        <v/>
      </c>
      <c r="AD15" s="3"/>
      <c r="AE15" s="3"/>
      <c r="AF15" s="4">
        <f t="shared" ref="AF15:AF46" si="33">(AD15)-(AE15)</f>
        <v>0</v>
      </c>
      <c r="AG15" s="5" t="str">
        <f t="shared" ref="AG15:AG46" si="34">IF(AE15=0,"",(AD15)/(AE15))</f>
        <v/>
      </c>
      <c r="AH15" s="4">
        <f t="shared" ref="AH15:AH46" si="35">(((((((B15)+(F15))+(J15))+(N15))+(R15))+(V15))+(Z15))+(AD15)</f>
        <v>0</v>
      </c>
      <c r="AI15" s="4">
        <f t="shared" ref="AI15:AI46" si="36">(((((((C15)+(G15))+(K15))+(O15))+(S15))+(W15))+(AA15))+(AE15)</f>
        <v>0</v>
      </c>
      <c r="AJ15" s="4">
        <f t="shared" ref="AJ15:AJ46" si="37">(AH15)-(AI15)</f>
        <v>0</v>
      </c>
      <c r="AK15" s="5" t="str">
        <f t="shared" ref="AK15:AK46" si="38">IF(AI15=0,"",(AH15)/(AI15))</f>
        <v/>
      </c>
    </row>
    <row r="16" spans="1:37" x14ac:dyDescent="0.25">
      <c r="A16" s="2" t="s">
        <v>22</v>
      </c>
      <c r="B16" s="4">
        <f>4069.52</f>
        <v>4069.52</v>
      </c>
      <c r="C16" s="4">
        <f>8964.19</f>
        <v>8964.19</v>
      </c>
      <c r="D16" s="4">
        <f t="shared" si="19"/>
        <v>-4894.67</v>
      </c>
      <c r="E16" s="5">
        <f t="shared" si="20"/>
        <v>0.45397520579104189</v>
      </c>
      <c r="F16" s="4">
        <f>8139.04</f>
        <v>8139.04</v>
      </c>
      <c r="G16" s="4">
        <f>8964.19</f>
        <v>8964.19</v>
      </c>
      <c r="H16" s="4">
        <f t="shared" si="21"/>
        <v>-825.15000000000055</v>
      </c>
      <c r="I16" s="5">
        <f t="shared" si="22"/>
        <v>0.90795041158208378</v>
      </c>
      <c r="J16" s="4">
        <f>12208.56</f>
        <v>12208.56</v>
      </c>
      <c r="K16" s="4">
        <f>8964.19</f>
        <v>8964.19</v>
      </c>
      <c r="L16" s="4">
        <f t="shared" si="23"/>
        <v>3244.369999999999</v>
      </c>
      <c r="M16" s="5">
        <f t="shared" si="24"/>
        <v>1.3619256173731256</v>
      </c>
      <c r="N16" s="4">
        <f>8139.04</f>
        <v>8139.04</v>
      </c>
      <c r="O16" s="4">
        <f>8964.19</f>
        <v>8964.19</v>
      </c>
      <c r="P16" s="4">
        <f t="shared" si="25"/>
        <v>-825.15000000000055</v>
      </c>
      <c r="Q16" s="5">
        <f t="shared" si="26"/>
        <v>0.90795041158208378</v>
      </c>
      <c r="R16" s="4">
        <f>8139.04</f>
        <v>8139.04</v>
      </c>
      <c r="S16" s="4">
        <f>8964.19</f>
        <v>8964.19</v>
      </c>
      <c r="T16" s="4">
        <f t="shared" si="27"/>
        <v>-825.15000000000055</v>
      </c>
      <c r="U16" s="5">
        <f t="shared" si="28"/>
        <v>0.90795041158208378</v>
      </c>
      <c r="V16" s="4">
        <f>8139.04</f>
        <v>8139.04</v>
      </c>
      <c r="W16" s="4">
        <f>8964.19</f>
        <v>8964.19</v>
      </c>
      <c r="X16" s="4">
        <f t="shared" si="29"/>
        <v>-825.15000000000055</v>
      </c>
      <c r="Y16" s="5">
        <f t="shared" si="30"/>
        <v>0.90795041158208378</v>
      </c>
      <c r="Z16" s="4">
        <f>8139.04</f>
        <v>8139.04</v>
      </c>
      <c r="AA16" s="4">
        <f>8964.19</f>
        <v>8964.19</v>
      </c>
      <c r="AB16" s="4">
        <f t="shared" si="31"/>
        <v>-825.15000000000055</v>
      </c>
      <c r="AC16" s="5">
        <f t="shared" si="32"/>
        <v>0.90795041158208378</v>
      </c>
      <c r="AD16" s="4">
        <f>8139.04</f>
        <v>8139.04</v>
      </c>
      <c r="AE16" s="4">
        <f>8964.19</f>
        <v>8964.19</v>
      </c>
      <c r="AF16" s="4">
        <f t="shared" si="33"/>
        <v>-825.15000000000055</v>
      </c>
      <c r="AG16" s="5">
        <f t="shared" si="34"/>
        <v>0.90795041158208378</v>
      </c>
      <c r="AH16" s="4">
        <f t="shared" si="35"/>
        <v>65112.32</v>
      </c>
      <c r="AI16" s="4">
        <f t="shared" si="36"/>
        <v>71713.52</v>
      </c>
      <c r="AJ16" s="4">
        <f t="shared" si="37"/>
        <v>-6601.2000000000044</v>
      </c>
      <c r="AK16" s="5">
        <f t="shared" si="38"/>
        <v>0.90795041158208378</v>
      </c>
    </row>
    <row r="17" spans="1:37" x14ac:dyDescent="0.25">
      <c r="A17" s="2" t="s">
        <v>23</v>
      </c>
      <c r="B17" s="4">
        <f>2191.28</f>
        <v>2191.2800000000002</v>
      </c>
      <c r="C17" s="4">
        <f>4826.87</f>
        <v>4826.87</v>
      </c>
      <c r="D17" s="4">
        <f t="shared" si="19"/>
        <v>-2635.5899999999997</v>
      </c>
      <c r="E17" s="5">
        <f t="shared" si="20"/>
        <v>0.45397535048592569</v>
      </c>
      <c r="F17" s="4">
        <f>4382.56</f>
        <v>4382.5600000000004</v>
      </c>
      <c r="G17" s="4">
        <f>4826.87</f>
        <v>4826.87</v>
      </c>
      <c r="H17" s="4">
        <f t="shared" si="21"/>
        <v>-444.30999999999949</v>
      </c>
      <c r="I17" s="5">
        <f t="shared" si="22"/>
        <v>0.90795070097185138</v>
      </c>
      <c r="J17" s="4">
        <f>6573.84</f>
        <v>6573.84</v>
      </c>
      <c r="K17" s="4">
        <f>4826.87</f>
        <v>4826.87</v>
      </c>
      <c r="L17" s="4">
        <f t="shared" si="23"/>
        <v>1746.9700000000003</v>
      </c>
      <c r="M17" s="5">
        <f t="shared" si="24"/>
        <v>1.3619260514577771</v>
      </c>
      <c r="N17" s="4">
        <f>4382.56</f>
        <v>4382.5600000000004</v>
      </c>
      <c r="O17" s="4">
        <f>4826.87</f>
        <v>4826.87</v>
      </c>
      <c r="P17" s="4">
        <f t="shared" si="25"/>
        <v>-444.30999999999949</v>
      </c>
      <c r="Q17" s="5">
        <f t="shared" si="26"/>
        <v>0.90795070097185138</v>
      </c>
      <c r="R17" s="4">
        <f>4382.56</f>
        <v>4382.5600000000004</v>
      </c>
      <c r="S17" s="4">
        <f>4826.87</f>
        <v>4826.87</v>
      </c>
      <c r="T17" s="4">
        <f t="shared" si="27"/>
        <v>-444.30999999999949</v>
      </c>
      <c r="U17" s="5">
        <f t="shared" si="28"/>
        <v>0.90795070097185138</v>
      </c>
      <c r="V17" s="4">
        <f>4382.56</f>
        <v>4382.5600000000004</v>
      </c>
      <c r="W17" s="4">
        <f>4826.87</f>
        <v>4826.87</v>
      </c>
      <c r="X17" s="4">
        <f t="shared" si="29"/>
        <v>-444.30999999999949</v>
      </c>
      <c r="Y17" s="5">
        <f t="shared" si="30"/>
        <v>0.90795070097185138</v>
      </c>
      <c r="Z17" s="4">
        <f>4382.56</f>
        <v>4382.5600000000004</v>
      </c>
      <c r="AA17" s="4">
        <f>4826.87</f>
        <v>4826.87</v>
      </c>
      <c r="AB17" s="4">
        <f t="shared" si="31"/>
        <v>-444.30999999999949</v>
      </c>
      <c r="AC17" s="5">
        <f t="shared" si="32"/>
        <v>0.90795070097185138</v>
      </c>
      <c r="AD17" s="4">
        <f>4382.56</f>
        <v>4382.5600000000004</v>
      </c>
      <c r="AE17" s="4">
        <f>4826.87</f>
        <v>4826.87</v>
      </c>
      <c r="AF17" s="4">
        <f t="shared" si="33"/>
        <v>-444.30999999999949</v>
      </c>
      <c r="AG17" s="5">
        <f t="shared" si="34"/>
        <v>0.90795070097185138</v>
      </c>
      <c r="AH17" s="4">
        <f t="shared" si="35"/>
        <v>35060.480000000003</v>
      </c>
      <c r="AI17" s="4">
        <f t="shared" si="36"/>
        <v>38614.959999999999</v>
      </c>
      <c r="AJ17" s="4">
        <f t="shared" si="37"/>
        <v>-3554.4799999999959</v>
      </c>
      <c r="AK17" s="5">
        <f t="shared" si="38"/>
        <v>0.90795070097185138</v>
      </c>
    </row>
    <row r="18" spans="1:37" x14ac:dyDescent="0.25">
      <c r="A18" s="2" t="s">
        <v>24</v>
      </c>
      <c r="B18" s="4">
        <f>0</f>
        <v>0</v>
      </c>
      <c r="C18" s="3"/>
      <c r="D18" s="4">
        <f t="shared" si="19"/>
        <v>0</v>
      </c>
      <c r="E18" s="5" t="str">
        <f t="shared" si="20"/>
        <v/>
      </c>
      <c r="F18" s="4">
        <f>0</f>
        <v>0</v>
      </c>
      <c r="G18" s="3"/>
      <c r="H18" s="4">
        <f t="shared" si="21"/>
        <v>0</v>
      </c>
      <c r="I18" s="5" t="str">
        <f t="shared" si="22"/>
        <v/>
      </c>
      <c r="J18" s="4">
        <f>0</f>
        <v>0</v>
      </c>
      <c r="K18" s="3"/>
      <c r="L18" s="4">
        <f t="shared" si="23"/>
        <v>0</v>
      </c>
      <c r="M18" s="5" t="str">
        <f t="shared" si="24"/>
        <v/>
      </c>
      <c r="N18" s="4">
        <f>0</f>
        <v>0</v>
      </c>
      <c r="O18" s="3"/>
      <c r="P18" s="4">
        <f t="shared" si="25"/>
        <v>0</v>
      </c>
      <c r="Q18" s="5" t="str">
        <f t="shared" si="26"/>
        <v/>
      </c>
      <c r="R18" s="4">
        <f>0</f>
        <v>0</v>
      </c>
      <c r="S18" s="3"/>
      <c r="T18" s="4">
        <f t="shared" si="27"/>
        <v>0</v>
      </c>
      <c r="U18" s="5" t="str">
        <f t="shared" si="28"/>
        <v/>
      </c>
      <c r="V18" s="4">
        <f>0</f>
        <v>0</v>
      </c>
      <c r="W18" s="3"/>
      <c r="X18" s="4">
        <f t="shared" si="29"/>
        <v>0</v>
      </c>
      <c r="Y18" s="5" t="str">
        <f t="shared" si="30"/>
        <v/>
      </c>
      <c r="Z18" s="4">
        <f>0</f>
        <v>0</v>
      </c>
      <c r="AA18" s="3"/>
      <c r="AB18" s="4">
        <f t="shared" si="31"/>
        <v>0</v>
      </c>
      <c r="AC18" s="5" t="str">
        <f t="shared" si="32"/>
        <v/>
      </c>
      <c r="AD18" s="4">
        <f>0</f>
        <v>0</v>
      </c>
      <c r="AE18" s="3"/>
      <c r="AF18" s="4">
        <f t="shared" si="33"/>
        <v>0</v>
      </c>
      <c r="AG18" s="5" t="str">
        <f t="shared" si="34"/>
        <v/>
      </c>
      <c r="AH18" s="4">
        <f t="shared" si="35"/>
        <v>0</v>
      </c>
      <c r="AI18" s="4">
        <f t="shared" si="36"/>
        <v>0</v>
      </c>
      <c r="AJ18" s="4">
        <f t="shared" si="37"/>
        <v>0</v>
      </c>
      <c r="AK18" s="5" t="str">
        <f t="shared" si="38"/>
        <v/>
      </c>
    </row>
    <row r="19" spans="1:37" x14ac:dyDescent="0.25">
      <c r="A19" s="2" t="s">
        <v>25</v>
      </c>
      <c r="B19" s="6">
        <f>(((B15)+(B16))+(B17))+(B18)</f>
        <v>6260.8</v>
      </c>
      <c r="C19" s="6">
        <f>(((C15)+(C16))+(C17))+(C18)</f>
        <v>13791.060000000001</v>
      </c>
      <c r="D19" s="6">
        <f t="shared" si="19"/>
        <v>-7530.2600000000011</v>
      </c>
      <c r="E19" s="7">
        <f t="shared" si="20"/>
        <v>0.45397525643424069</v>
      </c>
      <c r="F19" s="6">
        <f>(((F15)+(F16))+(F17))+(F18)</f>
        <v>12521.6</v>
      </c>
      <c r="G19" s="6">
        <f>(((G15)+(G16))+(G17))+(G18)</f>
        <v>13791.060000000001</v>
      </c>
      <c r="H19" s="6">
        <f t="shared" si="21"/>
        <v>-1269.4600000000009</v>
      </c>
      <c r="I19" s="7">
        <f t="shared" si="22"/>
        <v>0.90795051286848139</v>
      </c>
      <c r="J19" s="6">
        <f>(((J15)+(J16))+(J17))+(J18)</f>
        <v>18782.400000000001</v>
      </c>
      <c r="K19" s="6">
        <f>(((K15)+(K16))+(K17))+(K18)</f>
        <v>13791.060000000001</v>
      </c>
      <c r="L19" s="6">
        <f t="shared" si="23"/>
        <v>4991.34</v>
      </c>
      <c r="M19" s="7">
        <f t="shared" si="24"/>
        <v>1.3619257693027222</v>
      </c>
      <c r="N19" s="6">
        <f>(((N15)+(N16))+(N17))+(N18)</f>
        <v>12521.6</v>
      </c>
      <c r="O19" s="6">
        <f>(((O15)+(O16))+(O17))+(O18)</f>
        <v>13791.060000000001</v>
      </c>
      <c r="P19" s="6">
        <f t="shared" si="25"/>
        <v>-1269.4600000000009</v>
      </c>
      <c r="Q19" s="7">
        <f t="shared" si="26"/>
        <v>0.90795051286848139</v>
      </c>
      <c r="R19" s="6">
        <f>(((R15)+(R16))+(R17))+(R18)</f>
        <v>12521.6</v>
      </c>
      <c r="S19" s="6">
        <f>(((S15)+(S16))+(S17))+(S18)</f>
        <v>13791.060000000001</v>
      </c>
      <c r="T19" s="6">
        <f t="shared" si="27"/>
        <v>-1269.4600000000009</v>
      </c>
      <c r="U19" s="7">
        <f t="shared" si="28"/>
        <v>0.90795051286848139</v>
      </c>
      <c r="V19" s="6">
        <f>(((V15)+(V16))+(V17))+(V18)</f>
        <v>12521.6</v>
      </c>
      <c r="W19" s="6">
        <f>(((W15)+(W16))+(W17))+(W18)</f>
        <v>13791.060000000001</v>
      </c>
      <c r="X19" s="6">
        <f t="shared" si="29"/>
        <v>-1269.4600000000009</v>
      </c>
      <c r="Y19" s="7">
        <f t="shared" si="30"/>
        <v>0.90795051286848139</v>
      </c>
      <c r="Z19" s="6">
        <f>(((Z15)+(Z16))+(Z17))+(Z18)</f>
        <v>12521.6</v>
      </c>
      <c r="AA19" s="6">
        <f>(((AA15)+(AA16))+(AA17))+(AA18)</f>
        <v>13791.060000000001</v>
      </c>
      <c r="AB19" s="6">
        <f t="shared" si="31"/>
        <v>-1269.4600000000009</v>
      </c>
      <c r="AC19" s="7">
        <f t="shared" si="32"/>
        <v>0.90795051286848139</v>
      </c>
      <c r="AD19" s="6">
        <f>(((AD15)+(AD16))+(AD17))+(AD18)</f>
        <v>12521.6</v>
      </c>
      <c r="AE19" s="6">
        <f>(((AE15)+(AE16))+(AE17))+(AE18)</f>
        <v>13791.060000000001</v>
      </c>
      <c r="AF19" s="6">
        <f t="shared" si="33"/>
        <v>-1269.4600000000009</v>
      </c>
      <c r="AG19" s="7">
        <f t="shared" si="34"/>
        <v>0.90795051286848139</v>
      </c>
      <c r="AH19" s="6">
        <f t="shared" si="35"/>
        <v>100172.80000000002</v>
      </c>
      <c r="AI19" s="6">
        <f t="shared" si="36"/>
        <v>110328.48</v>
      </c>
      <c r="AJ19" s="6">
        <f t="shared" si="37"/>
        <v>-10155.679999999978</v>
      </c>
      <c r="AK19" s="7">
        <f t="shared" si="38"/>
        <v>0.90795051286848161</v>
      </c>
    </row>
    <row r="20" spans="1:37" x14ac:dyDescent="0.25">
      <c r="A20" s="2" t="s">
        <v>26</v>
      </c>
      <c r="B20" s="3"/>
      <c r="C20" s="3"/>
      <c r="D20" s="4">
        <f t="shared" si="19"/>
        <v>0</v>
      </c>
      <c r="E20" s="5" t="str">
        <f t="shared" si="20"/>
        <v/>
      </c>
      <c r="F20" s="3"/>
      <c r="G20" s="3"/>
      <c r="H20" s="4">
        <f t="shared" si="21"/>
        <v>0</v>
      </c>
      <c r="I20" s="5" t="str">
        <f t="shared" si="22"/>
        <v/>
      </c>
      <c r="J20" s="3"/>
      <c r="K20" s="3"/>
      <c r="L20" s="4">
        <f t="shared" si="23"/>
        <v>0</v>
      </c>
      <c r="M20" s="5" t="str">
        <f t="shared" si="24"/>
        <v/>
      </c>
      <c r="N20" s="3"/>
      <c r="O20" s="3"/>
      <c r="P20" s="4">
        <f t="shared" si="25"/>
        <v>0</v>
      </c>
      <c r="Q20" s="5" t="str">
        <f t="shared" si="26"/>
        <v/>
      </c>
      <c r="R20" s="3"/>
      <c r="S20" s="3"/>
      <c r="T20" s="4">
        <f t="shared" si="27"/>
        <v>0</v>
      </c>
      <c r="U20" s="5" t="str">
        <f t="shared" si="28"/>
        <v/>
      </c>
      <c r="V20" s="3"/>
      <c r="W20" s="3"/>
      <c r="X20" s="4">
        <f t="shared" si="29"/>
        <v>0</v>
      </c>
      <c r="Y20" s="5" t="str">
        <f t="shared" si="30"/>
        <v/>
      </c>
      <c r="Z20" s="3"/>
      <c r="AA20" s="3"/>
      <c r="AB20" s="4">
        <f t="shared" si="31"/>
        <v>0</v>
      </c>
      <c r="AC20" s="5" t="str">
        <f t="shared" si="32"/>
        <v/>
      </c>
      <c r="AD20" s="3"/>
      <c r="AE20" s="3"/>
      <c r="AF20" s="4">
        <f t="shared" si="33"/>
        <v>0</v>
      </c>
      <c r="AG20" s="5" t="str">
        <f t="shared" si="34"/>
        <v/>
      </c>
      <c r="AH20" s="4">
        <f t="shared" si="35"/>
        <v>0</v>
      </c>
      <c r="AI20" s="4">
        <f t="shared" si="36"/>
        <v>0</v>
      </c>
      <c r="AJ20" s="4">
        <f t="shared" si="37"/>
        <v>0</v>
      </c>
      <c r="AK20" s="5" t="str">
        <f t="shared" si="38"/>
        <v/>
      </c>
    </row>
    <row r="21" spans="1:37" x14ac:dyDescent="0.25">
      <c r="A21" s="2" t="s">
        <v>27</v>
      </c>
      <c r="B21" s="4">
        <f>461.97</f>
        <v>461.97</v>
      </c>
      <c r="C21" s="4">
        <f>555.78</f>
        <v>555.78</v>
      </c>
      <c r="D21" s="4">
        <f t="shared" si="19"/>
        <v>-93.809999999999945</v>
      </c>
      <c r="E21" s="5">
        <f t="shared" si="20"/>
        <v>0.83121019108280259</v>
      </c>
      <c r="F21" s="4">
        <f>481.48</f>
        <v>481.48</v>
      </c>
      <c r="G21" s="4">
        <f>555.78</f>
        <v>555.78</v>
      </c>
      <c r="H21" s="4">
        <f t="shared" si="21"/>
        <v>-74.299999999999955</v>
      </c>
      <c r="I21" s="5">
        <f t="shared" si="22"/>
        <v>0.86631400914030743</v>
      </c>
      <c r="J21" s="4">
        <f>722.22</f>
        <v>722.22</v>
      </c>
      <c r="K21" s="4">
        <f>555.78</f>
        <v>555.78</v>
      </c>
      <c r="L21" s="4">
        <f t="shared" si="23"/>
        <v>166.44000000000005</v>
      </c>
      <c r="M21" s="5">
        <f t="shared" si="24"/>
        <v>1.299471013710461</v>
      </c>
      <c r="N21" s="4">
        <f>481.48</f>
        <v>481.48</v>
      </c>
      <c r="O21" s="4">
        <f>555.78</f>
        <v>555.78</v>
      </c>
      <c r="P21" s="4">
        <f t="shared" si="25"/>
        <v>-74.299999999999955</v>
      </c>
      <c r="Q21" s="5">
        <f t="shared" si="26"/>
        <v>0.86631400914030743</v>
      </c>
      <c r="R21" s="4">
        <f>481.48</f>
        <v>481.48</v>
      </c>
      <c r="S21" s="4">
        <f>555.78</f>
        <v>555.78</v>
      </c>
      <c r="T21" s="4">
        <f t="shared" si="27"/>
        <v>-74.299999999999955</v>
      </c>
      <c r="U21" s="5">
        <f t="shared" si="28"/>
        <v>0.86631400914030743</v>
      </c>
      <c r="V21" s="4">
        <f>481.48</f>
        <v>481.48</v>
      </c>
      <c r="W21" s="4">
        <f>555.78</f>
        <v>555.78</v>
      </c>
      <c r="X21" s="4">
        <f t="shared" si="29"/>
        <v>-74.299999999999955</v>
      </c>
      <c r="Y21" s="5">
        <f t="shared" si="30"/>
        <v>0.86631400914030743</v>
      </c>
      <c r="Z21" s="4">
        <f>481.48</f>
        <v>481.48</v>
      </c>
      <c r="AA21" s="4">
        <f>555.78</f>
        <v>555.78</v>
      </c>
      <c r="AB21" s="4">
        <f t="shared" si="31"/>
        <v>-74.299999999999955</v>
      </c>
      <c r="AC21" s="5">
        <f t="shared" si="32"/>
        <v>0.86631400914030743</v>
      </c>
      <c r="AD21" s="4">
        <f>481.48</f>
        <v>481.48</v>
      </c>
      <c r="AE21" s="4">
        <f>555.78</f>
        <v>555.78</v>
      </c>
      <c r="AF21" s="4">
        <f t="shared" si="33"/>
        <v>-74.299999999999955</v>
      </c>
      <c r="AG21" s="5">
        <f t="shared" si="34"/>
        <v>0.86631400914030743</v>
      </c>
      <c r="AH21" s="4">
        <f t="shared" si="35"/>
        <v>4073.07</v>
      </c>
      <c r="AI21" s="4">
        <f t="shared" si="36"/>
        <v>4446.2399999999989</v>
      </c>
      <c r="AJ21" s="4">
        <f t="shared" si="37"/>
        <v>-373.16999999999871</v>
      </c>
      <c r="AK21" s="5">
        <f t="shared" si="38"/>
        <v>0.91607065745438865</v>
      </c>
    </row>
    <row r="22" spans="1:37" x14ac:dyDescent="0.25">
      <c r="A22" s="2" t="s">
        <v>28</v>
      </c>
      <c r="B22" s="4">
        <f>248.76</f>
        <v>248.76</v>
      </c>
      <c r="C22" s="4">
        <f>299.27</f>
        <v>299.27</v>
      </c>
      <c r="D22" s="4">
        <f t="shared" si="19"/>
        <v>-50.509999999999991</v>
      </c>
      <c r="E22" s="5">
        <f t="shared" si="20"/>
        <v>0.83122264176161997</v>
      </c>
      <c r="F22" s="4">
        <f>259.26</f>
        <v>259.26</v>
      </c>
      <c r="G22" s="4">
        <f>299.27</f>
        <v>299.27</v>
      </c>
      <c r="H22" s="4">
        <f t="shared" si="21"/>
        <v>-40.009999999999991</v>
      </c>
      <c r="I22" s="5">
        <f t="shared" si="22"/>
        <v>0.86630801617268693</v>
      </c>
      <c r="J22" s="4">
        <f>388.89</f>
        <v>388.89</v>
      </c>
      <c r="K22" s="4">
        <f>299.27</f>
        <v>299.27</v>
      </c>
      <c r="L22" s="4">
        <f t="shared" si="23"/>
        <v>89.62</v>
      </c>
      <c r="M22" s="5">
        <f t="shared" si="24"/>
        <v>1.2994620242590302</v>
      </c>
      <c r="N22" s="4">
        <f>259.26</f>
        <v>259.26</v>
      </c>
      <c r="O22" s="4">
        <f>299.27</f>
        <v>299.27</v>
      </c>
      <c r="P22" s="4">
        <f t="shared" si="25"/>
        <v>-40.009999999999991</v>
      </c>
      <c r="Q22" s="5">
        <f t="shared" si="26"/>
        <v>0.86630801617268693</v>
      </c>
      <c r="R22" s="4">
        <f>259.26</f>
        <v>259.26</v>
      </c>
      <c r="S22" s="4">
        <f>299.27</f>
        <v>299.27</v>
      </c>
      <c r="T22" s="4">
        <f t="shared" si="27"/>
        <v>-40.009999999999991</v>
      </c>
      <c r="U22" s="5">
        <f t="shared" si="28"/>
        <v>0.86630801617268693</v>
      </c>
      <c r="V22" s="4">
        <f>259.26</f>
        <v>259.26</v>
      </c>
      <c r="W22" s="4">
        <f>299.27</f>
        <v>299.27</v>
      </c>
      <c r="X22" s="4">
        <f t="shared" si="29"/>
        <v>-40.009999999999991</v>
      </c>
      <c r="Y22" s="5">
        <f t="shared" si="30"/>
        <v>0.86630801617268693</v>
      </c>
      <c r="Z22" s="4">
        <f>259.26</f>
        <v>259.26</v>
      </c>
      <c r="AA22" s="4">
        <f>299.27</f>
        <v>299.27</v>
      </c>
      <c r="AB22" s="4">
        <f t="shared" si="31"/>
        <v>-40.009999999999991</v>
      </c>
      <c r="AC22" s="5">
        <f t="shared" si="32"/>
        <v>0.86630801617268693</v>
      </c>
      <c r="AD22" s="4">
        <f>259.26</f>
        <v>259.26</v>
      </c>
      <c r="AE22" s="4">
        <f>299.27</f>
        <v>299.27</v>
      </c>
      <c r="AF22" s="4">
        <f t="shared" si="33"/>
        <v>-40.009999999999991</v>
      </c>
      <c r="AG22" s="5">
        <f t="shared" si="34"/>
        <v>0.86630801617268693</v>
      </c>
      <c r="AH22" s="4">
        <f t="shared" si="35"/>
        <v>2193.21</v>
      </c>
      <c r="AI22" s="4">
        <f t="shared" si="36"/>
        <v>2394.16</v>
      </c>
      <c r="AJ22" s="4">
        <f t="shared" si="37"/>
        <v>-200.94999999999982</v>
      </c>
      <c r="AK22" s="5">
        <f t="shared" si="38"/>
        <v>0.91606659538209656</v>
      </c>
    </row>
    <row r="23" spans="1:37" x14ac:dyDescent="0.25">
      <c r="A23" s="2" t="s">
        <v>29</v>
      </c>
      <c r="B23" s="4">
        <f>0</f>
        <v>0</v>
      </c>
      <c r="C23" s="3"/>
      <c r="D23" s="4">
        <f t="shared" si="19"/>
        <v>0</v>
      </c>
      <c r="E23" s="5" t="str">
        <f t="shared" si="20"/>
        <v/>
      </c>
      <c r="F23" s="4">
        <f>0</f>
        <v>0</v>
      </c>
      <c r="G23" s="3"/>
      <c r="H23" s="4">
        <f t="shared" si="21"/>
        <v>0</v>
      </c>
      <c r="I23" s="5" t="str">
        <f t="shared" si="22"/>
        <v/>
      </c>
      <c r="J23" s="4">
        <f>0</f>
        <v>0</v>
      </c>
      <c r="K23" s="3"/>
      <c r="L23" s="4">
        <f t="shared" si="23"/>
        <v>0</v>
      </c>
      <c r="M23" s="5" t="str">
        <f t="shared" si="24"/>
        <v/>
      </c>
      <c r="N23" s="4">
        <f>0</f>
        <v>0</v>
      </c>
      <c r="O23" s="3"/>
      <c r="P23" s="4">
        <f t="shared" si="25"/>
        <v>0</v>
      </c>
      <c r="Q23" s="5" t="str">
        <f t="shared" si="26"/>
        <v/>
      </c>
      <c r="R23" s="4">
        <f>0</f>
        <v>0</v>
      </c>
      <c r="S23" s="3"/>
      <c r="T23" s="4">
        <f t="shared" si="27"/>
        <v>0</v>
      </c>
      <c r="U23" s="5" t="str">
        <f t="shared" si="28"/>
        <v/>
      </c>
      <c r="V23" s="4">
        <f>0</f>
        <v>0</v>
      </c>
      <c r="W23" s="3"/>
      <c r="X23" s="4">
        <f t="shared" si="29"/>
        <v>0</v>
      </c>
      <c r="Y23" s="5" t="str">
        <f t="shared" si="30"/>
        <v/>
      </c>
      <c r="Z23" s="4">
        <f>0</f>
        <v>0</v>
      </c>
      <c r="AA23" s="3"/>
      <c r="AB23" s="4">
        <f t="shared" si="31"/>
        <v>0</v>
      </c>
      <c r="AC23" s="5" t="str">
        <f t="shared" si="32"/>
        <v/>
      </c>
      <c r="AD23" s="4">
        <f>0</f>
        <v>0</v>
      </c>
      <c r="AE23" s="3"/>
      <c r="AF23" s="4">
        <f t="shared" si="33"/>
        <v>0</v>
      </c>
      <c r="AG23" s="5" t="str">
        <f t="shared" si="34"/>
        <v/>
      </c>
      <c r="AH23" s="4">
        <f t="shared" si="35"/>
        <v>0</v>
      </c>
      <c r="AI23" s="4">
        <f t="shared" si="36"/>
        <v>0</v>
      </c>
      <c r="AJ23" s="4">
        <f t="shared" si="37"/>
        <v>0</v>
      </c>
      <c r="AK23" s="5" t="str">
        <f t="shared" si="38"/>
        <v/>
      </c>
    </row>
    <row r="24" spans="1:37" x14ac:dyDescent="0.25">
      <c r="A24" s="2" t="s">
        <v>30</v>
      </c>
      <c r="B24" s="6">
        <f>(((B20)+(B21))+(B22))+(B23)</f>
        <v>710.73</v>
      </c>
      <c r="C24" s="6">
        <f>(((C20)+(C21))+(C22))+(C23)</f>
        <v>855.05</v>
      </c>
      <c r="D24" s="6">
        <f t="shared" si="19"/>
        <v>-144.31999999999994</v>
      </c>
      <c r="E24" s="7">
        <f t="shared" si="20"/>
        <v>0.83121454885679202</v>
      </c>
      <c r="F24" s="6">
        <f>(((F20)+(F21))+(F22))+(F23)</f>
        <v>740.74</v>
      </c>
      <c r="G24" s="6">
        <f>(((G20)+(G21))+(G22))+(G23)</f>
        <v>855.05</v>
      </c>
      <c r="H24" s="6">
        <f t="shared" si="21"/>
        <v>-114.30999999999995</v>
      </c>
      <c r="I24" s="7">
        <f t="shared" si="22"/>
        <v>0.86631191158411791</v>
      </c>
      <c r="J24" s="6">
        <f>(((J20)+(J21))+(J22))+(J23)</f>
        <v>1111.1100000000001</v>
      </c>
      <c r="K24" s="6">
        <f>(((K20)+(K21))+(K22))+(K23)</f>
        <v>855.05</v>
      </c>
      <c r="L24" s="6">
        <f t="shared" si="23"/>
        <v>256.06000000000017</v>
      </c>
      <c r="M24" s="7">
        <f t="shared" si="24"/>
        <v>1.299467867376177</v>
      </c>
      <c r="N24" s="6">
        <f>(((N20)+(N21))+(N22))+(N23)</f>
        <v>740.74</v>
      </c>
      <c r="O24" s="6">
        <f>(((O20)+(O21))+(O22))+(O23)</f>
        <v>855.05</v>
      </c>
      <c r="P24" s="6">
        <f t="shared" si="25"/>
        <v>-114.30999999999995</v>
      </c>
      <c r="Q24" s="7">
        <f t="shared" si="26"/>
        <v>0.86631191158411791</v>
      </c>
      <c r="R24" s="6">
        <f>(((R20)+(R21))+(R22))+(R23)</f>
        <v>740.74</v>
      </c>
      <c r="S24" s="6">
        <f>(((S20)+(S21))+(S22))+(S23)</f>
        <v>855.05</v>
      </c>
      <c r="T24" s="6">
        <f t="shared" si="27"/>
        <v>-114.30999999999995</v>
      </c>
      <c r="U24" s="7">
        <f t="shared" si="28"/>
        <v>0.86631191158411791</v>
      </c>
      <c r="V24" s="6">
        <f>(((V20)+(V21))+(V22))+(V23)</f>
        <v>740.74</v>
      </c>
      <c r="W24" s="6">
        <f>(((W20)+(W21))+(W22))+(W23)</f>
        <v>855.05</v>
      </c>
      <c r="X24" s="6">
        <f t="shared" si="29"/>
        <v>-114.30999999999995</v>
      </c>
      <c r="Y24" s="7">
        <f t="shared" si="30"/>
        <v>0.86631191158411791</v>
      </c>
      <c r="Z24" s="6">
        <f>(((Z20)+(Z21))+(Z22))+(Z23)</f>
        <v>740.74</v>
      </c>
      <c r="AA24" s="6">
        <f>(((AA20)+(AA21))+(AA22))+(AA23)</f>
        <v>855.05</v>
      </c>
      <c r="AB24" s="6">
        <f t="shared" si="31"/>
        <v>-114.30999999999995</v>
      </c>
      <c r="AC24" s="7">
        <f t="shared" si="32"/>
        <v>0.86631191158411791</v>
      </c>
      <c r="AD24" s="6">
        <f>(((AD20)+(AD21))+(AD22))+(AD23)</f>
        <v>740.74</v>
      </c>
      <c r="AE24" s="6">
        <f>(((AE20)+(AE21))+(AE22))+(AE23)</f>
        <v>855.05</v>
      </c>
      <c r="AF24" s="6">
        <f t="shared" si="33"/>
        <v>-114.30999999999995</v>
      </c>
      <c r="AG24" s="7">
        <f t="shared" si="34"/>
        <v>0.86631191158411791</v>
      </c>
      <c r="AH24" s="6">
        <f t="shared" si="35"/>
        <v>6266.2799999999988</v>
      </c>
      <c r="AI24" s="6">
        <f t="shared" si="36"/>
        <v>6840.4000000000005</v>
      </c>
      <c r="AJ24" s="6">
        <f t="shared" si="37"/>
        <v>-574.12000000000171</v>
      </c>
      <c r="AK24" s="7">
        <f t="shared" si="38"/>
        <v>0.91606923571720933</v>
      </c>
    </row>
    <row r="25" spans="1:37" x14ac:dyDescent="0.25">
      <c r="A25" s="2" t="s">
        <v>31</v>
      </c>
      <c r="B25" s="3"/>
      <c r="C25" s="3"/>
      <c r="D25" s="4">
        <f t="shared" si="19"/>
        <v>0</v>
      </c>
      <c r="E25" s="5" t="str">
        <f t="shared" si="20"/>
        <v/>
      </c>
      <c r="F25" s="3"/>
      <c r="G25" s="3"/>
      <c r="H25" s="4">
        <f t="shared" si="21"/>
        <v>0</v>
      </c>
      <c r="I25" s="5" t="str">
        <f t="shared" si="22"/>
        <v/>
      </c>
      <c r="J25" s="3"/>
      <c r="K25" s="3"/>
      <c r="L25" s="4">
        <f t="shared" si="23"/>
        <v>0</v>
      </c>
      <c r="M25" s="5" t="str">
        <f t="shared" si="24"/>
        <v/>
      </c>
      <c r="N25" s="3"/>
      <c r="O25" s="3"/>
      <c r="P25" s="4">
        <f t="shared" si="25"/>
        <v>0</v>
      </c>
      <c r="Q25" s="5" t="str">
        <f t="shared" si="26"/>
        <v/>
      </c>
      <c r="R25" s="3"/>
      <c r="S25" s="3"/>
      <c r="T25" s="4">
        <f t="shared" si="27"/>
        <v>0</v>
      </c>
      <c r="U25" s="5" t="str">
        <f t="shared" si="28"/>
        <v/>
      </c>
      <c r="V25" s="3"/>
      <c r="W25" s="3"/>
      <c r="X25" s="4">
        <f t="shared" si="29"/>
        <v>0</v>
      </c>
      <c r="Y25" s="5" t="str">
        <f t="shared" si="30"/>
        <v/>
      </c>
      <c r="Z25" s="3"/>
      <c r="AA25" s="3"/>
      <c r="AB25" s="4">
        <f t="shared" si="31"/>
        <v>0</v>
      </c>
      <c r="AC25" s="5" t="str">
        <f t="shared" si="32"/>
        <v/>
      </c>
      <c r="AD25" s="3"/>
      <c r="AE25" s="3"/>
      <c r="AF25" s="4">
        <f t="shared" si="33"/>
        <v>0</v>
      </c>
      <c r="AG25" s="5" t="str">
        <f t="shared" si="34"/>
        <v/>
      </c>
      <c r="AH25" s="4">
        <f t="shared" si="35"/>
        <v>0</v>
      </c>
      <c r="AI25" s="4">
        <f t="shared" si="36"/>
        <v>0</v>
      </c>
      <c r="AJ25" s="4">
        <f t="shared" si="37"/>
        <v>0</v>
      </c>
      <c r="AK25" s="5" t="str">
        <f t="shared" si="38"/>
        <v/>
      </c>
    </row>
    <row r="26" spans="1:37" x14ac:dyDescent="0.25">
      <c r="A26" s="2" t="s">
        <v>32</v>
      </c>
      <c r="B26" s="4">
        <f>108.04</f>
        <v>108.04</v>
      </c>
      <c r="C26" s="4">
        <f>129.98</f>
        <v>129.97999999999999</v>
      </c>
      <c r="D26" s="4">
        <f t="shared" si="19"/>
        <v>-21.939999999999984</v>
      </c>
      <c r="E26" s="5">
        <f t="shared" si="20"/>
        <v>0.83120480073857528</v>
      </c>
      <c r="F26" s="4">
        <f>112.61</f>
        <v>112.61</v>
      </c>
      <c r="G26" s="4">
        <f>129.98</f>
        <v>129.97999999999999</v>
      </c>
      <c r="H26" s="4">
        <f t="shared" si="21"/>
        <v>-17.36999999999999</v>
      </c>
      <c r="I26" s="5">
        <f t="shared" si="22"/>
        <v>0.86636405600861677</v>
      </c>
      <c r="J26" s="4">
        <f>168.91</f>
        <v>168.91</v>
      </c>
      <c r="K26" s="4">
        <f>129.98</f>
        <v>129.97999999999999</v>
      </c>
      <c r="L26" s="4">
        <f t="shared" si="23"/>
        <v>38.930000000000007</v>
      </c>
      <c r="M26" s="5">
        <f t="shared" si="24"/>
        <v>1.2995076165563935</v>
      </c>
      <c r="N26" s="4">
        <f>112.61</f>
        <v>112.61</v>
      </c>
      <c r="O26" s="4">
        <f>129.98</f>
        <v>129.97999999999999</v>
      </c>
      <c r="P26" s="4">
        <f t="shared" si="25"/>
        <v>-17.36999999999999</v>
      </c>
      <c r="Q26" s="5">
        <f t="shared" si="26"/>
        <v>0.86636405600861677</v>
      </c>
      <c r="R26" s="4">
        <f>112.61</f>
        <v>112.61</v>
      </c>
      <c r="S26" s="4">
        <f>129.98</f>
        <v>129.97999999999999</v>
      </c>
      <c r="T26" s="4">
        <f t="shared" si="27"/>
        <v>-17.36999999999999</v>
      </c>
      <c r="U26" s="5">
        <f t="shared" si="28"/>
        <v>0.86636405600861677</v>
      </c>
      <c r="V26" s="4">
        <f>112.61</f>
        <v>112.61</v>
      </c>
      <c r="W26" s="4">
        <f>129.98</f>
        <v>129.97999999999999</v>
      </c>
      <c r="X26" s="4">
        <f t="shared" si="29"/>
        <v>-17.36999999999999</v>
      </c>
      <c r="Y26" s="5">
        <f t="shared" si="30"/>
        <v>0.86636405600861677</v>
      </c>
      <c r="Z26" s="4">
        <f>112.61</f>
        <v>112.61</v>
      </c>
      <c r="AA26" s="4">
        <f>129.98</f>
        <v>129.97999999999999</v>
      </c>
      <c r="AB26" s="4">
        <f t="shared" si="31"/>
        <v>-17.36999999999999</v>
      </c>
      <c r="AC26" s="5">
        <f t="shared" si="32"/>
        <v>0.86636405600861677</v>
      </c>
      <c r="AD26" s="4">
        <f>112.61</f>
        <v>112.61</v>
      </c>
      <c r="AE26" s="4">
        <f>129.98</f>
        <v>129.97999999999999</v>
      </c>
      <c r="AF26" s="4">
        <f t="shared" si="33"/>
        <v>-17.36999999999999</v>
      </c>
      <c r="AG26" s="5">
        <f t="shared" si="34"/>
        <v>0.86636405600861677</v>
      </c>
      <c r="AH26" s="4">
        <f t="shared" si="35"/>
        <v>952.61</v>
      </c>
      <c r="AI26" s="4">
        <f t="shared" si="36"/>
        <v>1039.8399999999999</v>
      </c>
      <c r="AJ26" s="4">
        <f t="shared" si="37"/>
        <v>-87.229999999999905</v>
      </c>
      <c r="AK26" s="5">
        <f t="shared" si="38"/>
        <v>0.91611209416833372</v>
      </c>
    </row>
    <row r="27" spans="1:37" x14ac:dyDescent="0.25">
      <c r="A27" s="2" t="s">
        <v>33</v>
      </c>
      <c r="B27" s="4">
        <f>58.18</f>
        <v>58.18</v>
      </c>
      <c r="C27" s="4">
        <f>69.99</f>
        <v>69.989999999999995</v>
      </c>
      <c r="D27" s="4">
        <f t="shared" si="19"/>
        <v>-11.809999999999995</v>
      </c>
      <c r="E27" s="5">
        <f t="shared" si="20"/>
        <v>0.83126160880125743</v>
      </c>
      <c r="F27" s="4">
        <f>60.63</f>
        <v>60.63</v>
      </c>
      <c r="G27" s="4">
        <f>69.99</f>
        <v>69.989999999999995</v>
      </c>
      <c r="H27" s="4">
        <f t="shared" si="21"/>
        <v>-9.3599999999999923</v>
      </c>
      <c r="I27" s="5">
        <f t="shared" si="22"/>
        <v>0.86626660951564516</v>
      </c>
      <c r="J27" s="4">
        <f>90.95</f>
        <v>90.95</v>
      </c>
      <c r="K27" s="4">
        <f>69.99</f>
        <v>69.989999999999995</v>
      </c>
      <c r="L27" s="4">
        <f t="shared" si="23"/>
        <v>20.960000000000008</v>
      </c>
      <c r="M27" s="5">
        <f t="shared" si="24"/>
        <v>1.2994713530504358</v>
      </c>
      <c r="N27" s="4">
        <f>60.63</f>
        <v>60.63</v>
      </c>
      <c r="O27" s="4">
        <f>69.99</f>
        <v>69.989999999999995</v>
      </c>
      <c r="P27" s="4">
        <f t="shared" si="25"/>
        <v>-9.3599999999999923</v>
      </c>
      <c r="Q27" s="5">
        <f t="shared" si="26"/>
        <v>0.86626660951564516</v>
      </c>
      <c r="R27" s="4">
        <f>60.63</f>
        <v>60.63</v>
      </c>
      <c r="S27" s="4">
        <f>69.99</f>
        <v>69.989999999999995</v>
      </c>
      <c r="T27" s="4">
        <f t="shared" si="27"/>
        <v>-9.3599999999999923</v>
      </c>
      <c r="U27" s="5">
        <f t="shared" si="28"/>
        <v>0.86626660951564516</v>
      </c>
      <c r="V27" s="4">
        <f>60.63</f>
        <v>60.63</v>
      </c>
      <c r="W27" s="4">
        <f>69.99</f>
        <v>69.989999999999995</v>
      </c>
      <c r="X27" s="4">
        <f t="shared" si="29"/>
        <v>-9.3599999999999923</v>
      </c>
      <c r="Y27" s="5">
        <f t="shared" si="30"/>
        <v>0.86626660951564516</v>
      </c>
      <c r="Z27" s="4">
        <f>60.63</f>
        <v>60.63</v>
      </c>
      <c r="AA27" s="4">
        <f>69.99</f>
        <v>69.989999999999995</v>
      </c>
      <c r="AB27" s="4">
        <f t="shared" si="31"/>
        <v>-9.3599999999999923</v>
      </c>
      <c r="AC27" s="5">
        <f t="shared" si="32"/>
        <v>0.86626660951564516</v>
      </c>
      <c r="AD27" s="4">
        <f>60.63</f>
        <v>60.63</v>
      </c>
      <c r="AE27" s="4">
        <f>69.99</f>
        <v>69.989999999999995</v>
      </c>
      <c r="AF27" s="4">
        <f t="shared" si="33"/>
        <v>-9.3599999999999923</v>
      </c>
      <c r="AG27" s="5">
        <f t="shared" si="34"/>
        <v>0.86626660951564516</v>
      </c>
      <c r="AH27" s="4">
        <f t="shared" si="35"/>
        <v>512.91</v>
      </c>
      <c r="AI27" s="4">
        <f t="shared" si="36"/>
        <v>559.91999999999996</v>
      </c>
      <c r="AJ27" s="4">
        <f t="shared" si="37"/>
        <v>-47.009999999999991</v>
      </c>
      <c r="AK27" s="5">
        <f t="shared" si="38"/>
        <v>0.91604157736819547</v>
      </c>
    </row>
    <row r="28" spans="1:37" x14ac:dyDescent="0.25">
      <c r="A28" s="2" t="s">
        <v>34</v>
      </c>
      <c r="B28" s="4">
        <f>0</f>
        <v>0</v>
      </c>
      <c r="C28" s="3"/>
      <c r="D28" s="4">
        <f t="shared" si="19"/>
        <v>0</v>
      </c>
      <c r="E28" s="5" t="str">
        <f t="shared" si="20"/>
        <v/>
      </c>
      <c r="F28" s="4">
        <f>0</f>
        <v>0</v>
      </c>
      <c r="G28" s="3"/>
      <c r="H28" s="4">
        <f t="shared" si="21"/>
        <v>0</v>
      </c>
      <c r="I28" s="5" t="str">
        <f t="shared" si="22"/>
        <v/>
      </c>
      <c r="J28" s="4">
        <f>0</f>
        <v>0</v>
      </c>
      <c r="K28" s="3"/>
      <c r="L28" s="4">
        <f t="shared" si="23"/>
        <v>0</v>
      </c>
      <c r="M28" s="5" t="str">
        <f t="shared" si="24"/>
        <v/>
      </c>
      <c r="N28" s="4">
        <f>0</f>
        <v>0</v>
      </c>
      <c r="O28" s="3"/>
      <c r="P28" s="4">
        <f t="shared" si="25"/>
        <v>0</v>
      </c>
      <c r="Q28" s="5" t="str">
        <f t="shared" si="26"/>
        <v/>
      </c>
      <c r="R28" s="4">
        <f>0</f>
        <v>0</v>
      </c>
      <c r="S28" s="3"/>
      <c r="T28" s="4">
        <f t="shared" si="27"/>
        <v>0</v>
      </c>
      <c r="U28" s="5" t="str">
        <f t="shared" si="28"/>
        <v/>
      </c>
      <c r="V28" s="4">
        <f>0</f>
        <v>0</v>
      </c>
      <c r="W28" s="3"/>
      <c r="X28" s="4">
        <f t="shared" si="29"/>
        <v>0</v>
      </c>
      <c r="Y28" s="5" t="str">
        <f t="shared" si="30"/>
        <v/>
      </c>
      <c r="Z28" s="4">
        <f>0</f>
        <v>0</v>
      </c>
      <c r="AA28" s="3"/>
      <c r="AB28" s="4">
        <f t="shared" si="31"/>
        <v>0</v>
      </c>
      <c r="AC28" s="5" t="str">
        <f t="shared" si="32"/>
        <v/>
      </c>
      <c r="AD28" s="4">
        <f>0</f>
        <v>0</v>
      </c>
      <c r="AE28" s="3"/>
      <c r="AF28" s="4">
        <f t="shared" si="33"/>
        <v>0</v>
      </c>
      <c r="AG28" s="5" t="str">
        <f t="shared" si="34"/>
        <v/>
      </c>
      <c r="AH28" s="4">
        <f t="shared" si="35"/>
        <v>0</v>
      </c>
      <c r="AI28" s="4">
        <f t="shared" si="36"/>
        <v>0</v>
      </c>
      <c r="AJ28" s="4">
        <f t="shared" si="37"/>
        <v>0</v>
      </c>
      <c r="AK28" s="5" t="str">
        <f t="shared" si="38"/>
        <v/>
      </c>
    </row>
    <row r="29" spans="1:37" x14ac:dyDescent="0.25">
      <c r="A29" s="2" t="s">
        <v>35</v>
      </c>
      <c r="B29" s="6">
        <f>(((B25)+(B26))+(B27))+(B28)</f>
        <v>166.22</v>
      </c>
      <c r="C29" s="6">
        <f>(((C25)+(C26))+(C27))+(C28)</f>
        <v>199.96999999999997</v>
      </c>
      <c r="D29" s="6">
        <f t="shared" si="19"/>
        <v>-33.749999999999972</v>
      </c>
      <c r="E29" s="7">
        <f t="shared" si="20"/>
        <v>0.83122468370255553</v>
      </c>
      <c r="F29" s="6">
        <f>(((F25)+(F26))+(F27))+(F28)</f>
        <v>173.24</v>
      </c>
      <c r="G29" s="6">
        <f>(((G25)+(G26))+(G27))+(G28)</f>
        <v>199.96999999999997</v>
      </c>
      <c r="H29" s="6">
        <f t="shared" si="21"/>
        <v>-26.729999999999961</v>
      </c>
      <c r="I29" s="7">
        <f t="shared" si="22"/>
        <v>0.86632994949242403</v>
      </c>
      <c r="J29" s="6">
        <f>(((J25)+(J26))+(J27))+(J28)</f>
        <v>259.86</v>
      </c>
      <c r="K29" s="6">
        <f>(((K25)+(K26))+(K27))+(K28)</f>
        <v>199.96999999999997</v>
      </c>
      <c r="L29" s="6">
        <f t="shared" si="23"/>
        <v>59.890000000000043</v>
      </c>
      <c r="M29" s="7">
        <f t="shared" si="24"/>
        <v>1.299494924238636</v>
      </c>
      <c r="N29" s="6">
        <f>(((N25)+(N26))+(N27))+(N28)</f>
        <v>173.24</v>
      </c>
      <c r="O29" s="6">
        <f>(((O25)+(O26))+(O27))+(O28)</f>
        <v>199.96999999999997</v>
      </c>
      <c r="P29" s="6">
        <f t="shared" si="25"/>
        <v>-26.729999999999961</v>
      </c>
      <c r="Q29" s="7">
        <f t="shared" si="26"/>
        <v>0.86632994949242403</v>
      </c>
      <c r="R29" s="6">
        <f>(((R25)+(R26))+(R27))+(R28)</f>
        <v>173.24</v>
      </c>
      <c r="S29" s="6">
        <f>(((S25)+(S26))+(S27))+(S28)</f>
        <v>199.96999999999997</v>
      </c>
      <c r="T29" s="6">
        <f t="shared" si="27"/>
        <v>-26.729999999999961</v>
      </c>
      <c r="U29" s="7">
        <f t="shared" si="28"/>
        <v>0.86632994949242403</v>
      </c>
      <c r="V29" s="6">
        <f>(((V25)+(V26))+(V27))+(V28)</f>
        <v>173.24</v>
      </c>
      <c r="W29" s="6">
        <f>(((W25)+(W26))+(W27))+(W28)</f>
        <v>199.96999999999997</v>
      </c>
      <c r="X29" s="6">
        <f t="shared" si="29"/>
        <v>-26.729999999999961</v>
      </c>
      <c r="Y29" s="7">
        <f t="shared" si="30"/>
        <v>0.86632994949242403</v>
      </c>
      <c r="Z29" s="6">
        <f>(((Z25)+(Z26))+(Z27))+(Z28)</f>
        <v>173.24</v>
      </c>
      <c r="AA29" s="6">
        <f>(((AA25)+(AA26))+(AA27))+(AA28)</f>
        <v>199.96999999999997</v>
      </c>
      <c r="AB29" s="6">
        <f t="shared" si="31"/>
        <v>-26.729999999999961</v>
      </c>
      <c r="AC29" s="7">
        <f t="shared" si="32"/>
        <v>0.86632994949242403</v>
      </c>
      <c r="AD29" s="6">
        <f>(((AD25)+(AD26))+(AD27))+(AD28)</f>
        <v>173.24</v>
      </c>
      <c r="AE29" s="6">
        <f>(((AE25)+(AE26))+(AE27))+(AE28)</f>
        <v>199.96999999999997</v>
      </c>
      <c r="AF29" s="6">
        <f t="shared" si="33"/>
        <v>-26.729999999999961</v>
      </c>
      <c r="AG29" s="7">
        <f t="shared" si="34"/>
        <v>0.86632994949242403</v>
      </c>
      <c r="AH29" s="6">
        <f t="shared" si="35"/>
        <v>1465.52</v>
      </c>
      <c r="AI29" s="6">
        <f t="shared" si="36"/>
        <v>1599.76</v>
      </c>
      <c r="AJ29" s="6">
        <f t="shared" si="37"/>
        <v>-134.24</v>
      </c>
      <c r="AK29" s="7">
        <f t="shared" si="38"/>
        <v>0.91608741311196684</v>
      </c>
    </row>
    <row r="30" spans="1:37" x14ac:dyDescent="0.25">
      <c r="A30" s="2" t="s">
        <v>36</v>
      </c>
      <c r="B30" s="3"/>
      <c r="C30" s="3"/>
      <c r="D30" s="4">
        <f t="shared" si="19"/>
        <v>0</v>
      </c>
      <c r="E30" s="5" t="str">
        <f t="shared" si="20"/>
        <v/>
      </c>
      <c r="F30" s="3"/>
      <c r="G30" s="3"/>
      <c r="H30" s="4">
        <f t="shared" si="21"/>
        <v>0</v>
      </c>
      <c r="I30" s="5" t="str">
        <f t="shared" si="22"/>
        <v/>
      </c>
      <c r="J30" s="3"/>
      <c r="K30" s="3"/>
      <c r="L30" s="4">
        <f t="shared" si="23"/>
        <v>0</v>
      </c>
      <c r="M30" s="5" t="str">
        <f t="shared" si="24"/>
        <v/>
      </c>
      <c r="N30" s="3"/>
      <c r="O30" s="3"/>
      <c r="P30" s="4">
        <f t="shared" si="25"/>
        <v>0</v>
      </c>
      <c r="Q30" s="5" t="str">
        <f t="shared" si="26"/>
        <v/>
      </c>
      <c r="R30" s="3"/>
      <c r="S30" s="3"/>
      <c r="T30" s="4">
        <f t="shared" si="27"/>
        <v>0</v>
      </c>
      <c r="U30" s="5" t="str">
        <f t="shared" si="28"/>
        <v/>
      </c>
      <c r="V30" s="3"/>
      <c r="W30" s="3"/>
      <c r="X30" s="4">
        <f t="shared" si="29"/>
        <v>0</v>
      </c>
      <c r="Y30" s="5" t="str">
        <f t="shared" si="30"/>
        <v/>
      </c>
      <c r="Z30" s="3"/>
      <c r="AA30" s="3"/>
      <c r="AB30" s="4">
        <f t="shared" si="31"/>
        <v>0</v>
      </c>
      <c r="AC30" s="5" t="str">
        <f t="shared" si="32"/>
        <v/>
      </c>
      <c r="AD30" s="3"/>
      <c r="AE30" s="3"/>
      <c r="AF30" s="4">
        <f t="shared" si="33"/>
        <v>0</v>
      </c>
      <c r="AG30" s="5" t="str">
        <f t="shared" si="34"/>
        <v/>
      </c>
      <c r="AH30" s="4">
        <f t="shared" si="35"/>
        <v>0</v>
      </c>
      <c r="AI30" s="4">
        <f t="shared" si="36"/>
        <v>0</v>
      </c>
      <c r="AJ30" s="4">
        <f t="shared" si="37"/>
        <v>0</v>
      </c>
      <c r="AK30" s="5" t="str">
        <f t="shared" si="38"/>
        <v/>
      </c>
    </row>
    <row r="31" spans="1:37" x14ac:dyDescent="0.25">
      <c r="A31" s="2" t="s">
        <v>37</v>
      </c>
      <c r="B31" s="3"/>
      <c r="C31" s="4">
        <f>73.29</f>
        <v>73.290000000000006</v>
      </c>
      <c r="D31" s="4">
        <f t="shared" si="19"/>
        <v>-73.290000000000006</v>
      </c>
      <c r="E31" s="5">
        <f t="shared" si="20"/>
        <v>0</v>
      </c>
      <c r="F31" s="3"/>
      <c r="G31" s="4">
        <f>73.29</f>
        <v>73.290000000000006</v>
      </c>
      <c r="H31" s="4">
        <f t="shared" si="21"/>
        <v>-73.290000000000006</v>
      </c>
      <c r="I31" s="5">
        <f t="shared" si="22"/>
        <v>0</v>
      </c>
      <c r="J31" s="3"/>
      <c r="K31" s="4">
        <f>73.29</f>
        <v>73.290000000000006</v>
      </c>
      <c r="L31" s="4">
        <f t="shared" si="23"/>
        <v>-73.290000000000006</v>
      </c>
      <c r="M31" s="5">
        <f t="shared" si="24"/>
        <v>0</v>
      </c>
      <c r="N31" s="4">
        <f>870.87</f>
        <v>870.87</v>
      </c>
      <c r="O31" s="4">
        <f>73.29</f>
        <v>73.290000000000006</v>
      </c>
      <c r="P31" s="4">
        <f t="shared" si="25"/>
        <v>797.58</v>
      </c>
      <c r="Q31" s="5">
        <f t="shared" si="26"/>
        <v>11.882521489971346</v>
      </c>
      <c r="R31" s="4">
        <f>450.57</f>
        <v>450.57</v>
      </c>
      <c r="S31" s="4">
        <f>73.29</f>
        <v>73.290000000000006</v>
      </c>
      <c r="T31" s="4">
        <f t="shared" si="27"/>
        <v>377.28</v>
      </c>
      <c r="U31" s="5">
        <f t="shared" si="28"/>
        <v>6.1477691363078177</v>
      </c>
      <c r="V31" s="4">
        <f>0</f>
        <v>0</v>
      </c>
      <c r="W31" s="4">
        <f>73.29</f>
        <v>73.290000000000006</v>
      </c>
      <c r="X31" s="4">
        <f t="shared" si="29"/>
        <v>-73.290000000000006</v>
      </c>
      <c r="Y31" s="5">
        <f t="shared" si="30"/>
        <v>0</v>
      </c>
      <c r="Z31" s="4">
        <f>0</f>
        <v>0</v>
      </c>
      <c r="AA31" s="4">
        <f>73.29</f>
        <v>73.290000000000006</v>
      </c>
      <c r="AB31" s="4">
        <f t="shared" si="31"/>
        <v>-73.290000000000006</v>
      </c>
      <c r="AC31" s="5">
        <f t="shared" si="32"/>
        <v>0</v>
      </c>
      <c r="AD31" s="4">
        <f>0</f>
        <v>0</v>
      </c>
      <c r="AE31" s="4">
        <f>73.29</f>
        <v>73.290000000000006</v>
      </c>
      <c r="AF31" s="4">
        <f t="shared" si="33"/>
        <v>-73.290000000000006</v>
      </c>
      <c r="AG31" s="5">
        <f t="shared" si="34"/>
        <v>0</v>
      </c>
      <c r="AH31" s="4">
        <f t="shared" si="35"/>
        <v>1321.44</v>
      </c>
      <c r="AI31" s="4">
        <f t="shared" si="36"/>
        <v>586.32000000000005</v>
      </c>
      <c r="AJ31" s="4">
        <f t="shared" si="37"/>
        <v>735.12</v>
      </c>
      <c r="AK31" s="5">
        <f t="shared" si="38"/>
        <v>2.2537863282848956</v>
      </c>
    </row>
    <row r="32" spans="1:37" x14ac:dyDescent="0.25">
      <c r="A32" s="2" t="s">
        <v>38</v>
      </c>
      <c r="B32" s="3"/>
      <c r="C32" s="4">
        <f>39.46</f>
        <v>39.46</v>
      </c>
      <c r="D32" s="4">
        <f t="shared" si="19"/>
        <v>-39.46</v>
      </c>
      <c r="E32" s="5">
        <f t="shared" si="20"/>
        <v>0</v>
      </c>
      <c r="F32" s="3"/>
      <c r="G32" s="4">
        <f>39.46</f>
        <v>39.46</v>
      </c>
      <c r="H32" s="4">
        <f t="shared" si="21"/>
        <v>-39.46</v>
      </c>
      <c r="I32" s="5">
        <f t="shared" si="22"/>
        <v>0</v>
      </c>
      <c r="J32" s="3"/>
      <c r="K32" s="4">
        <f>39.46</f>
        <v>39.46</v>
      </c>
      <c r="L32" s="4">
        <f t="shared" si="23"/>
        <v>-39.46</v>
      </c>
      <c r="M32" s="5">
        <f t="shared" si="24"/>
        <v>0</v>
      </c>
      <c r="N32" s="4">
        <f>468.93</f>
        <v>468.93</v>
      </c>
      <c r="O32" s="4">
        <f>39.46</f>
        <v>39.46</v>
      </c>
      <c r="P32" s="4">
        <f t="shared" si="25"/>
        <v>429.47</v>
      </c>
      <c r="Q32" s="5">
        <f t="shared" si="26"/>
        <v>11.883679675620883</v>
      </c>
      <c r="R32" s="4">
        <f>242.62</f>
        <v>242.62</v>
      </c>
      <c r="S32" s="4">
        <f>39.46</f>
        <v>39.46</v>
      </c>
      <c r="T32" s="4">
        <f t="shared" si="27"/>
        <v>203.16</v>
      </c>
      <c r="U32" s="5">
        <f t="shared" si="28"/>
        <v>6.1485048150025339</v>
      </c>
      <c r="V32" s="4">
        <f>0</f>
        <v>0</v>
      </c>
      <c r="W32" s="4">
        <f>39.46</f>
        <v>39.46</v>
      </c>
      <c r="X32" s="4">
        <f t="shared" si="29"/>
        <v>-39.46</v>
      </c>
      <c r="Y32" s="5">
        <f t="shared" si="30"/>
        <v>0</v>
      </c>
      <c r="Z32" s="4">
        <f>0</f>
        <v>0</v>
      </c>
      <c r="AA32" s="4">
        <f>39.46</f>
        <v>39.46</v>
      </c>
      <c r="AB32" s="4">
        <f t="shared" si="31"/>
        <v>-39.46</v>
      </c>
      <c r="AC32" s="5">
        <f t="shared" si="32"/>
        <v>0</v>
      </c>
      <c r="AD32" s="4">
        <f>0</f>
        <v>0</v>
      </c>
      <c r="AE32" s="4">
        <f>39.46</f>
        <v>39.46</v>
      </c>
      <c r="AF32" s="4">
        <f t="shared" si="33"/>
        <v>-39.46</v>
      </c>
      <c r="AG32" s="5">
        <f t="shared" si="34"/>
        <v>0</v>
      </c>
      <c r="AH32" s="4">
        <f t="shared" si="35"/>
        <v>711.55</v>
      </c>
      <c r="AI32" s="4">
        <f t="shared" si="36"/>
        <v>315.68</v>
      </c>
      <c r="AJ32" s="4">
        <f t="shared" si="37"/>
        <v>395.86999999999995</v>
      </c>
      <c r="AK32" s="5">
        <f t="shared" si="38"/>
        <v>2.2540230613279268</v>
      </c>
    </row>
    <row r="33" spans="1:37" x14ac:dyDescent="0.25">
      <c r="A33" s="2" t="s">
        <v>39</v>
      </c>
      <c r="B33" s="4">
        <f>0</f>
        <v>0</v>
      </c>
      <c r="C33" s="3"/>
      <c r="D33" s="4">
        <f t="shared" si="19"/>
        <v>0</v>
      </c>
      <c r="E33" s="5" t="str">
        <f t="shared" si="20"/>
        <v/>
      </c>
      <c r="F33" s="4">
        <f>0</f>
        <v>0</v>
      </c>
      <c r="G33" s="3"/>
      <c r="H33" s="4">
        <f t="shared" si="21"/>
        <v>0</v>
      </c>
      <c r="I33" s="5" t="str">
        <f t="shared" si="22"/>
        <v/>
      </c>
      <c r="J33" s="4">
        <f>0</f>
        <v>0</v>
      </c>
      <c r="K33" s="3"/>
      <c r="L33" s="4">
        <f t="shared" si="23"/>
        <v>0</v>
      </c>
      <c r="M33" s="5" t="str">
        <f t="shared" si="24"/>
        <v/>
      </c>
      <c r="N33" s="4">
        <f>0</f>
        <v>0</v>
      </c>
      <c r="O33" s="3"/>
      <c r="P33" s="4">
        <f t="shared" si="25"/>
        <v>0</v>
      </c>
      <c r="Q33" s="5" t="str">
        <f t="shared" si="26"/>
        <v/>
      </c>
      <c r="R33" s="4">
        <f>0</f>
        <v>0</v>
      </c>
      <c r="S33" s="3"/>
      <c r="T33" s="4">
        <f t="shared" si="27"/>
        <v>0</v>
      </c>
      <c r="U33" s="5" t="str">
        <f t="shared" si="28"/>
        <v/>
      </c>
      <c r="V33" s="4">
        <f>0</f>
        <v>0</v>
      </c>
      <c r="W33" s="3"/>
      <c r="X33" s="4">
        <f t="shared" si="29"/>
        <v>0</v>
      </c>
      <c r="Y33" s="5" t="str">
        <f t="shared" si="30"/>
        <v/>
      </c>
      <c r="Z33" s="4">
        <f>0</f>
        <v>0</v>
      </c>
      <c r="AA33" s="3"/>
      <c r="AB33" s="4">
        <f t="shared" si="31"/>
        <v>0</v>
      </c>
      <c r="AC33" s="5" t="str">
        <f t="shared" si="32"/>
        <v/>
      </c>
      <c r="AD33" s="4">
        <f>0</f>
        <v>0</v>
      </c>
      <c r="AE33" s="3"/>
      <c r="AF33" s="4">
        <f t="shared" si="33"/>
        <v>0</v>
      </c>
      <c r="AG33" s="5" t="str">
        <f t="shared" si="34"/>
        <v/>
      </c>
      <c r="AH33" s="4">
        <f t="shared" si="35"/>
        <v>0</v>
      </c>
      <c r="AI33" s="4">
        <f t="shared" si="36"/>
        <v>0</v>
      </c>
      <c r="AJ33" s="4">
        <f t="shared" si="37"/>
        <v>0</v>
      </c>
      <c r="AK33" s="5" t="str">
        <f t="shared" si="38"/>
        <v/>
      </c>
    </row>
    <row r="34" spans="1:37" x14ac:dyDescent="0.25">
      <c r="A34" s="2" t="s">
        <v>40</v>
      </c>
      <c r="B34" s="6">
        <f>(((B30)+(B31))+(B32))+(B33)</f>
        <v>0</v>
      </c>
      <c r="C34" s="6">
        <f>(((C30)+(C31))+(C32))+(C33)</f>
        <v>112.75</v>
      </c>
      <c r="D34" s="6">
        <f t="shared" si="19"/>
        <v>-112.75</v>
      </c>
      <c r="E34" s="7">
        <f t="shared" si="20"/>
        <v>0</v>
      </c>
      <c r="F34" s="6">
        <f>(((F30)+(F31))+(F32))+(F33)</f>
        <v>0</v>
      </c>
      <c r="G34" s="6">
        <f>(((G30)+(G31))+(G32))+(G33)</f>
        <v>112.75</v>
      </c>
      <c r="H34" s="6">
        <f t="shared" si="21"/>
        <v>-112.75</v>
      </c>
      <c r="I34" s="7">
        <f t="shared" si="22"/>
        <v>0</v>
      </c>
      <c r="J34" s="6">
        <f>(((J30)+(J31))+(J32))+(J33)</f>
        <v>0</v>
      </c>
      <c r="K34" s="6">
        <f>(((K30)+(K31))+(K32))+(K33)</f>
        <v>112.75</v>
      </c>
      <c r="L34" s="6">
        <f t="shared" si="23"/>
        <v>-112.75</v>
      </c>
      <c r="M34" s="7">
        <f t="shared" si="24"/>
        <v>0</v>
      </c>
      <c r="N34" s="6">
        <f>(((N30)+(N31))+(N32))+(N33)</f>
        <v>1339.8</v>
      </c>
      <c r="O34" s="6">
        <f>(((O30)+(O31))+(O32))+(O33)</f>
        <v>112.75</v>
      </c>
      <c r="P34" s="6">
        <f t="shared" si="25"/>
        <v>1227.05</v>
      </c>
      <c r="Q34" s="7">
        <f t="shared" si="26"/>
        <v>11.882926829268293</v>
      </c>
      <c r="R34" s="6">
        <f>(((R30)+(R31))+(R32))+(R33)</f>
        <v>693.19</v>
      </c>
      <c r="S34" s="6">
        <f>(((S30)+(S31))+(S32))+(S33)</f>
        <v>112.75</v>
      </c>
      <c r="T34" s="6">
        <f t="shared" si="27"/>
        <v>580.44000000000005</v>
      </c>
      <c r="U34" s="7">
        <f t="shared" si="28"/>
        <v>6.148026607538803</v>
      </c>
      <c r="V34" s="6">
        <f>(((V30)+(V31))+(V32))+(V33)</f>
        <v>0</v>
      </c>
      <c r="W34" s="6">
        <f>(((W30)+(W31))+(W32))+(W33)</f>
        <v>112.75</v>
      </c>
      <c r="X34" s="6">
        <f t="shared" si="29"/>
        <v>-112.75</v>
      </c>
      <c r="Y34" s="7">
        <f t="shared" si="30"/>
        <v>0</v>
      </c>
      <c r="Z34" s="6">
        <f>(((Z30)+(Z31))+(Z32))+(Z33)</f>
        <v>0</v>
      </c>
      <c r="AA34" s="6">
        <f>(((AA30)+(AA31))+(AA32))+(AA33)</f>
        <v>112.75</v>
      </c>
      <c r="AB34" s="6">
        <f t="shared" si="31"/>
        <v>-112.75</v>
      </c>
      <c r="AC34" s="7">
        <f t="shared" si="32"/>
        <v>0</v>
      </c>
      <c r="AD34" s="6">
        <f>(((AD30)+(AD31))+(AD32))+(AD33)</f>
        <v>0</v>
      </c>
      <c r="AE34" s="6">
        <f>(((AE30)+(AE31))+(AE32))+(AE33)</f>
        <v>112.75</v>
      </c>
      <c r="AF34" s="6">
        <f t="shared" si="33"/>
        <v>-112.75</v>
      </c>
      <c r="AG34" s="7">
        <f t="shared" si="34"/>
        <v>0</v>
      </c>
      <c r="AH34" s="6">
        <f t="shared" si="35"/>
        <v>2032.99</v>
      </c>
      <c r="AI34" s="6">
        <f t="shared" si="36"/>
        <v>902</v>
      </c>
      <c r="AJ34" s="6">
        <f t="shared" si="37"/>
        <v>1130.99</v>
      </c>
      <c r="AK34" s="7">
        <f t="shared" si="38"/>
        <v>2.253869179600887</v>
      </c>
    </row>
    <row r="35" spans="1:37" x14ac:dyDescent="0.25">
      <c r="A35" s="2" t="s">
        <v>41</v>
      </c>
      <c r="B35" s="3"/>
      <c r="C35" s="3"/>
      <c r="D35" s="4">
        <f t="shared" si="19"/>
        <v>0</v>
      </c>
      <c r="E35" s="5" t="str">
        <f t="shared" si="20"/>
        <v/>
      </c>
      <c r="F35" s="3"/>
      <c r="G35" s="3"/>
      <c r="H35" s="4">
        <f t="shared" si="21"/>
        <v>0</v>
      </c>
      <c r="I35" s="5" t="str">
        <f t="shared" si="22"/>
        <v/>
      </c>
      <c r="J35" s="3"/>
      <c r="K35" s="3"/>
      <c r="L35" s="4">
        <f t="shared" si="23"/>
        <v>0</v>
      </c>
      <c r="M35" s="5" t="str">
        <f t="shared" si="24"/>
        <v/>
      </c>
      <c r="N35" s="3"/>
      <c r="O35" s="3"/>
      <c r="P35" s="4">
        <f t="shared" si="25"/>
        <v>0</v>
      </c>
      <c r="Q35" s="5" t="str">
        <f t="shared" si="26"/>
        <v/>
      </c>
      <c r="R35" s="3"/>
      <c r="S35" s="3"/>
      <c r="T35" s="4">
        <f t="shared" si="27"/>
        <v>0</v>
      </c>
      <c r="U35" s="5" t="str">
        <f t="shared" si="28"/>
        <v/>
      </c>
      <c r="V35" s="3"/>
      <c r="W35" s="3"/>
      <c r="X35" s="4">
        <f t="shared" si="29"/>
        <v>0</v>
      </c>
      <c r="Y35" s="5" t="str">
        <f t="shared" si="30"/>
        <v/>
      </c>
      <c r="Z35" s="3"/>
      <c r="AA35" s="3"/>
      <c r="AB35" s="4">
        <f t="shared" si="31"/>
        <v>0</v>
      </c>
      <c r="AC35" s="5" t="str">
        <f t="shared" si="32"/>
        <v/>
      </c>
      <c r="AD35" s="3"/>
      <c r="AE35" s="3"/>
      <c r="AF35" s="4">
        <f t="shared" si="33"/>
        <v>0</v>
      </c>
      <c r="AG35" s="5" t="str">
        <f t="shared" si="34"/>
        <v/>
      </c>
      <c r="AH35" s="4">
        <f t="shared" si="35"/>
        <v>0</v>
      </c>
      <c r="AI35" s="4">
        <f t="shared" si="36"/>
        <v>0</v>
      </c>
      <c r="AJ35" s="4">
        <f t="shared" si="37"/>
        <v>0</v>
      </c>
      <c r="AK35" s="5" t="str">
        <f t="shared" si="38"/>
        <v/>
      </c>
    </row>
    <row r="36" spans="1:37" x14ac:dyDescent="0.25">
      <c r="A36" s="2" t="s">
        <v>42</v>
      </c>
      <c r="B36" s="4">
        <f>45.16</f>
        <v>45.16</v>
      </c>
      <c r="C36" s="4">
        <f>56.55</f>
        <v>56.55</v>
      </c>
      <c r="D36" s="4">
        <f t="shared" si="19"/>
        <v>-11.39</v>
      </c>
      <c r="E36" s="5">
        <f t="shared" si="20"/>
        <v>0.79858532272325378</v>
      </c>
      <c r="F36" s="4">
        <f>45.16</f>
        <v>45.16</v>
      </c>
      <c r="G36" s="4">
        <f>56.55</f>
        <v>56.55</v>
      </c>
      <c r="H36" s="4">
        <f t="shared" si="21"/>
        <v>-11.39</v>
      </c>
      <c r="I36" s="5">
        <f t="shared" si="22"/>
        <v>0.79858532272325378</v>
      </c>
      <c r="J36" s="4">
        <f>31.69</f>
        <v>31.69</v>
      </c>
      <c r="K36" s="4">
        <f>56.55</f>
        <v>56.55</v>
      </c>
      <c r="L36" s="4">
        <f t="shared" si="23"/>
        <v>-24.859999999999996</v>
      </c>
      <c r="M36" s="5">
        <f t="shared" si="24"/>
        <v>0.56038903625110525</v>
      </c>
      <c r="N36" s="4">
        <f>44.73</f>
        <v>44.73</v>
      </c>
      <c r="O36" s="4">
        <f>56.55</f>
        <v>56.55</v>
      </c>
      <c r="P36" s="4">
        <f t="shared" si="25"/>
        <v>-11.82</v>
      </c>
      <c r="Q36" s="5">
        <f t="shared" si="26"/>
        <v>0.7909814323607427</v>
      </c>
      <c r="R36" s="4">
        <f>44.73</f>
        <v>44.73</v>
      </c>
      <c r="S36" s="4">
        <f>56.55</f>
        <v>56.55</v>
      </c>
      <c r="T36" s="4">
        <f t="shared" si="27"/>
        <v>-11.82</v>
      </c>
      <c r="U36" s="5">
        <f t="shared" si="28"/>
        <v>0.7909814323607427</v>
      </c>
      <c r="V36" s="4">
        <f>44.73</f>
        <v>44.73</v>
      </c>
      <c r="W36" s="4">
        <f>56.55</f>
        <v>56.55</v>
      </c>
      <c r="X36" s="4">
        <f t="shared" si="29"/>
        <v>-11.82</v>
      </c>
      <c r="Y36" s="5">
        <f t="shared" si="30"/>
        <v>0.7909814323607427</v>
      </c>
      <c r="Z36" s="4">
        <f>44.73</f>
        <v>44.73</v>
      </c>
      <c r="AA36" s="4">
        <f>56.55</f>
        <v>56.55</v>
      </c>
      <c r="AB36" s="4">
        <f t="shared" si="31"/>
        <v>-11.82</v>
      </c>
      <c r="AC36" s="5">
        <f t="shared" si="32"/>
        <v>0.7909814323607427</v>
      </c>
      <c r="AD36" s="4">
        <f>44.73</f>
        <v>44.73</v>
      </c>
      <c r="AE36" s="4">
        <f>56.55</f>
        <v>56.55</v>
      </c>
      <c r="AF36" s="4">
        <f t="shared" si="33"/>
        <v>-11.82</v>
      </c>
      <c r="AG36" s="5">
        <f t="shared" si="34"/>
        <v>0.7909814323607427</v>
      </c>
      <c r="AH36" s="4">
        <f t="shared" si="35"/>
        <v>345.66</v>
      </c>
      <c r="AI36" s="4">
        <f t="shared" si="36"/>
        <v>452.40000000000003</v>
      </c>
      <c r="AJ36" s="4">
        <f t="shared" si="37"/>
        <v>-106.74000000000001</v>
      </c>
      <c r="AK36" s="5">
        <f t="shared" si="38"/>
        <v>0.76405835543766576</v>
      </c>
    </row>
    <row r="37" spans="1:37" x14ac:dyDescent="0.25">
      <c r="A37" s="2" t="s">
        <v>43</v>
      </c>
      <c r="B37" s="4">
        <f>24.31</f>
        <v>24.31</v>
      </c>
      <c r="C37" s="4">
        <f>30.45</f>
        <v>30.45</v>
      </c>
      <c r="D37" s="4">
        <f t="shared" si="19"/>
        <v>-6.1400000000000006</v>
      </c>
      <c r="E37" s="5">
        <f t="shared" si="20"/>
        <v>0.79835796387520519</v>
      </c>
      <c r="F37" s="4">
        <f>24.31</f>
        <v>24.31</v>
      </c>
      <c r="G37" s="4">
        <f>30.45</f>
        <v>30.45</v>
      </c>
      <c r="H37" s="4">
        <f t="shared" si="21"/>
        <v>-6.1400000000000006</v>
      </c>
      <c r="I37" s="5">
        <f t="shared" si="22"/>
        <v>0.79835796387520519</v>
      </c>
      <c r="J37" s="4">
        <f>17.06</f>
        <v>17.059999999999999</v>
      </c>
      <c r="K37" s="4">
        <f>30.45</f>
        <v>30.45</v>
      </c>
      <c r="L37" s="4">
        <f t="shared" si="23"/>
        <v>-13.39</v>
      </c>
      <c r="M37" s="5">
        <f t="shared" si="24"/>
        <v>0.56026272577996716</v>
      </c>
      <c r="N37" s="4">
        <f>24.08</f>
        <v>24.08</v>
      </c>
      <c r="O37" s="4">
        <f>30.45</f>
        <v>30.45</v>
      </c>
      <c r="P37" s="4">
        <f t="shared" si="25"/>
        <v>-6.370000000000001</v>
      </c>
      <c r="Q37" s="5">
        <f t="shared" si="26"/>
        <v>0.79080459770114941</v>
      </c>
      <c r="R37" s="4">
        <f>24.08</f>
        <v>24.08</v>
      </c>
      <c r="S37" s="4">
        <f>30.45</f>
        <v>30.45</v>
      </c>
      <c r="T37" s="4">
        <f t="shared" si="27"/>
        <v>-6.370000000000001</v>
      </c>
      <c r="U37" s="5">
        <f t="shared" si="28"/>
        <v>0.79080459770114941</v>
      </c>
      <c r="V37" s="4">
        <f>24.08</f>
        <v>24.08</v>
      </c>
      <c r="W37" s="4">
        <f>30.45</f>
        <v>30.45</v>
      </c>
      <c r="X37" s="4">
        <f t="shared" si="29"/>
        <v>-6.370000000000001</v>
      </c>
      <c r="Y37" s="5">
        <f t="shared" si="30"/>
        <v>0.79080459770114941</v>
      </c>
      <c r="Z37" s="4">
        <f>24.08</f>
        <v>24.08</v>
      </c>
      <c r="AA37" s="4">
        <f>30.45</f>
        <v>30.45</v>
      </c>
      <c r="AB37" s="4">
        <f t="shared" si="31"/>
        <v>-6.370000000000001</v>
      </c>
      <c r="AC37" s="5">
        <f t="shared" si="32"/>
        <v>0.79080459770114941</v>
      </c>
      <c r="AD37" s="4">
        <f>24.08</f>
        <v>24.08</v>
      </c>
      <c r="AE37" s="4">
        <f>30.45</f>
        <v>30.45</v>
      </c>
      <c r="AF37" s="4">
        <f t="shared" si="33"/>
        <v>-6.370000000000001</v>
      </c>
      <c r="AG37" s="5">
        <f t="shared" si="34"/>
        <v>0.79080459770114941</v>
      </c>
      <c r="AH37" s="4">
        <f t="shared" si="35"/>
        <v>186.07999999999998</v>
      </c>
      <c r="AI37" s="4">
        <f t="shared" si="36"/>
        <v>243.59999999999997</v>
      </c>
      <c r="AJ37" s="4">
        <f t="shared" si="37"/>
        <v>-57.519999999999982</v>
      </c>
      <c r="AK37" s="5">
        <f t="shared" si="38"/>
        <v>0.76387520525451569</v>
      </c>
    </row>
    <row r="38" spans="1:37" x14ac:dyDescent="0.25">
      <c r="A38" s="2" t="s">
        <v>44</v>
      </c>
      <c r="B38" s="4">
        <f>0</f>
        <v>0</v>
      </c>
      <c r="C38" s="3"/>
      <c r="D38" s="4">
        <f t="shared" si="19"/>
        <v>0</v>
      </c>
      <c r="E38" s="5" t="str">
        <f t="shared" si="20"/>
        <v/>
      </c>
      <c r="F38" s="4">
        <f>0</f>
        <v>0</v>
      </c>
      <c r="G38" s="3"/>
      <c r="H38" s="4">
        <f t="shared" si="21"/>
        <v>0</v>
      </c>
      <c r="I38" s="5" t="str">
        <f t="shared" si="22"/>
        <v/>
      </c>
      <c r="J38" s="4">
        <f>0</f>
        <v>0</v>
      </c>
      <c r="K38" s="3"/>
      <c r="L38" s="4">
        <f t="shared" si="23"/>
        <v>0</v>
      </c>
      <c r="M38" s="5" t="str">
        <f t="shared" si="24"/>
        <v/>
      </c>
      <c r="N38" s="4">
        <f>0</f>
        <v>0</v>
      </c>
      <c r="O38" s="3"/>
      <c r="P38" s="4">
        <f t="shared" si="25"/>
        <v>0</v>
      </c>
      <c r="Q38" s="5" t="str">
        <f t="shared" si="26"/>
        <v/>
      </c>
      <c r="R38" s="4">
        <f>0</f>
        <v>0</v>
      </c>
      <c r="S38" s="3"/>
      <c r="T38" s="4">
        <f t="shared" si="27"/>
        <v>0</v>
      </c>
      <c r="U38" s="5" t="str">
        <f t="shared" si="28"/>
        <v/>
      </c>
      <c r="V38" s="4">
        <f>0</f>
        <v>0</v>
      </c>
      <c r="W38" s="3"/>
      <c r="X38" s="4">
        <f t="shared" si="29"/>
        <v>0</v>
      </c>
      <c r="Y38" s="5" t="str">
        <f t="shared" si="30"/>
        <v/>
      </c>
      <c r="Z38" s="4">
        <f>0</f>
        <v>0</v>
      </c>
      <c r="AA38" s="3"/>
      <c r="AB38" s="4">
        <f t="shared" si="31"/>
        <v>0</v>
      </c>
      <c r="AC38" s="5" t="str">
        <f t="shared" si="32"/>
        <v/>
      </c>
      <c r="AD38" s="4">
        <f>0</f>
        <v>0</v>
      </c>
      <c r="AE38" s="3"/>
      <c r="AF38" s="4">
        <f t="shared" si="33"/>
        <v>0</v>
      </c>
      <c r="AG38" s="5" t="str">
        <f t="shared" si="34"/>
        <v/>
      </c>
      <c r="AH38" s="4">
        <f t="shared" si="35"/>
        <v>0</v>
      </c>
      <c r="AI38" s="4">
        <f t="shared" si="36"/>
        <v>0</v>
      </c>
      <c r="AJ38" s="4">
        <f t="shared" si="37"/>
        <v>0</v>
      </c>
      <c r="AK38" s="5" t="str">
        <f t="shared" si="38"/>
        <v/>
      </c>
    </row>
    <row r="39" spans="1:37" x14ac:dyDescent="0.25">
      <c r="A39" s="2" t="s">
        <v>45</v>
      </c>
      <c r="B39" s="6">
        <f>(((B35)+(B36))+(B37))+(B38)</f>
        <v>69.47</v>
      </c>
      <c r="C39" s="6">
        <f>(((C35)+(C36))+(C37))+(C38)</f>
        <v>87</v>
      </c>
      <c r="D39" s="6">
        <f t="shared" si="19"/>
        <v>-17.53</v>
      </c>
      <c r="E39" s="7">
        <f t="shared" si="20"/>
        <v>0.79850574712643674</v>
      </c>
      <c r="F39" s="6">
        <f>(((F35)+(F36))+(F37))+(F38)</f>
        <v>69.47</v>
      </c>
      <c r="G39" s="6">
        <f>(((G35)+(G36))+(G37))+(G38)</f>
        <v>87</v>
      </c>
      <c r="H39" s="6">
        <f t="shared" si="21"/>
        <v>-17.53</v>
      </c>
      <c r="I39" s="7">
        <f t="shared" si="22"/>
        <v>0.79850574712643674</v>
      </c>
      <c r="J39" s="6">
        <f>(((J35)+(J36))+(J37))+(J38)</f>
        <v>48.75</v>
      </c>
      <c r="K39" s="6">
        <f>(((K35)+(K36))+(K37))+(K38)</f>
        <v>87</v>
      </c>
      <c r="L39" s="6">
        <f t="shared" si="23"/>
        <v>-38.25</v>
      </c>
      <c r="M39" s="7">
        <f t="shared" si="24"/>
        <v>0.56034482758620685</v>
      </c>
      <c r="N39" s="6">
        <f>(((N35)+(N36))+(N37))+(N38)</f>
        <v>68.81</v>
      </c>
      <c r="O39" s="6">
        <f>(((O35)+(O36))+(O37))+(O38)</f>
        <v>87</v>
      </c>
      <c r="P39" s="6">
        <f t="shared" si="25"/>
        <v>-18.189999999999998</v>
      </c>
      <c r="Q39" s="7">
        <f t="shared" si="26"/>
        <v>0.79091954022988509</v>
      </c>
      <c r="R39" s="6">
        <f>(((R35)+(R36))+(R37))+(R38)</f>
        <v>68.81</v>
      </c>
      <c r="S39" s="6">
        <f>(((S35)+(S36))+(S37))+(S38)</f>
        <v>87</v>
      </c>
      <c r="T39" s="6">
        <f t="shared" si="27"/>
        <v>-18.189999999999998</v>
      </c>
      <c r="U39" s="7">
        <f t="shared" si="28"/>
        <v>0.79091954022988509</v>
      </c>
      <c r="V39" s="6">
        <f>(((V35)+(V36))+(V37))+(V38)</f>
        <v>68.81</v>
      </c>
      <c r="W39" s="6">
        <f>(((W35)+(W36))+(W37))+(W38)</f>
        <v>87</v>
      </c>
      <c r="X39" s="6">
        <f t="shared" si="29"/>
        <v>-18.189999999999998</v>
      </c>
      <c r="Y39" s="7">
        <f t="shared" si="30"/>
        <v>0.79091954022988509</v>
      </c>
      <c r="Z39" s="6">
        <f>(((Z35)+(Z36))+(Z37))+(Z38)</f>
        <v>68.81</v>
      </c>
      <c r="AA39" s="6">
        <f>(((AA35)+(AA36))+(AA37))+(AA38)</f>
        <v>87</v>
      </c>
      <c r="AB39" s="6">
        <f t="shared" si="31"/>
        <v>-18.189999999999998</v>
      </c>
      <c r="AC39" s="7">
        <f t="shared" si="32"/>
        <v>0.79091954022988509</v>
      </c>
      <c r="AD39" s="6">
        <f>(((AD35)+(AD36))+(AD37))+(AD38)</f>
        <v>68.81</v>
      </c>
      <c r="AE39" s="6">
        <f>(((AE35)+(AE36))+(AE37))+(AE38)</f>
        <v>87</v>
      </c>
      <c r="AF39" s="6">
        <f t="shared" si="33"/>
        <v>-18.189999999999998</v>
      </c>
      <c r="AG39" s="7">
        <f t="shared" si="34"/>
        <v>0.79091954022988509</v>
      </c>
      <c r="AH39" s="6">
        <f t="shared" si="35"/>
        <v>531.74</v>
      </c>
      <c r="AI39" s="6">
        <f t="shared" si="36"/>
        <v>696</v>
      </c>
      <c r="AJ39" s="6">
        <f t="shared" si="37"/>
        <v>-164.26</v>
      </c>
      <c r="AK39" s="7">
        <f t="shared" si="38"/>
        <v>0.76399425287356326</v>
      </c>
    </row>
    <row r="40" spans="1:37" x14ac:dyDescent="0.25">
      <c r="A40" s="2" t="s">
        <v>46</v>
      </c>
      <c r="B40" s="3"/>
      <c r="C40" s="3"/>
      <c r="D40" s="4">
        <f t="shared" si="19"/>
        <v>0</v>
      </c>
      <c r="E40" s="5" t="str">
        <f t="shared" si="20"/>
        <v/>
      </c>
      <c r="F40" s="3"/>
      <c r="G40" s="3"/>
      <c r="H40" s="4">
        <f t="shared" si="21"/>
        <v>0</v>
      </c>
      <c r="I40" s="5" t="str">
        <f t="shared" si="22"/>
        <v/>
      </c>
      <c r="J40" s="3"/>
      <c r="K40" s="3"/>
      <c r="L40" s="4">
        <f t="shared" si="23"/>
        <v>0</v>
      </c>
      <c r="M40" s="5" t="str">
        <f t="shared" si="24"/>
        <v/>
      </c>
      <c r="N40" s="3"/>
      <c r="O40" s="3"/>
      <c r="P40" s="4">
        <f t="shared" si="25"/>
        <v>0</v>
      </c>
      <c r="Q40" s="5" t="str">
        <f t="shared" si="26"/>
        <v/>
      </c>
      <c r="R40" s="3"/>
      <c r="S40" s="3"/>
      <c r="T40" s="4">
        <f t="shared" si="27"/>
        <v>0</v>
      </c>
      <c r="U40" s="5" t="str">
        <f t="shared" si="28"/>
        <v/>
      </c>
      <c r="V40" s="3"/>
      <c r="W40" s="3"/>
      <c r="X40" s="4">
        <f t="shared" si="29"/>
        <v>0</v>
      </c>
      <c r="Y40" s="5" t="str">
        <f t="shared" si="30"/>
        <v/>
      </c>
      <c r="Z40" s="3"/>
      <c r="AA40" s="3"/>
      <c r="AB40" s="4">
        <f t="shared" si="31"/>
        <v>0</v>
      </c>
      <c r="AC40" s="5" t="str">
        <f t="shared" si="32"/>
        <v/>
      </c>
      <c r="AD40" s="3"/>
      <c r="AE40" s="3"/>
      <c r="AF40" s="4">
        <f t="shared" si="33"/>
        <v>0</v>
      </c>
      <c r="AG40" s="5" t="str">
        <f t="shared" si="34"/>
        <v/>
      </c>
      <c r="AH40" s="4">
        <f t="shared" si="35"/>
        <v>0</v>
      </c>
      <c r="AI40" s="4">
        <f t="shared" si="36"/>
        <v>0</v>
      </c>
      <c r="AJ40" s="4">
        <f t="shared" si="37"/>
        <v>0</v>
      </c>
      <c r="AK40" s="5" t="str">
        <f t="shared" si="38"/>
        <v/>
      </c>
    </row>
    <row r="41" spans="1:37" x14ac:dyDescent="0.25">
      <c r="A41" s="2" t="s">
        <v>47</v>
      </c>
      <c r="B41" s="4">
        <f>1031.82</f>
        <v>1031.82</v>
      </c>
      <c r="C41" s="4">
        <f>1381.58</f>
        <v>1381.58</v>
      </c>
      <c r="D41" s="4">
        <f t="shared" si="19"/>
        <v>-349.76</v>
      </c>
      <c r="E41" s="5">
        <f t="shared" si="20"/>
        <v>0.74684057383575331</v>
      </c>
      <c r="F41" s="4">
        <f>1031.82</f>
        <v>1031.82</v>
      </c>
      <c r="G41" s="4">
        <f>1381.58</f>
        <v>1381.58</v>
      </c>
      <c r="H41" s="4">
        <f t="shared" si="21"/>
        <v>-349.76</v>
      </c>
      <c r="I41" s="5">
        <f t="shared" si="22"/>
        <v>0.74684057383575331</v>
      </c>
      <c r="J41" s="4">
        <f>858.62</f>
        <v>858.62</v>
      </c>
      <c r="K41" s="4">
        <f>1381.58</f>
        <v>1381.58</v>
      </c>
      <c r="L41" s="4">
        <f t="shared" si="23"/>
        <v>-522.95999999999992</v>
      </c>
      <c r="M41" s="5">
        <f t="shared" si="24"/>
        <v>0.6214768598271545</v>
      </c>
      <c r="N41" s="4">
        <f>6036.82</f>
        <v>6036.82</v>
      </c>
      <c r="O41" s="4">
        <f>1381.58</f>
        <v>1381.58</v>
      </c>
      <c r="P41" s="4">
        <f t="shared" si="25"/>
        <v>4655.24</v>
      </c>
      <c r="Q41" s="5">
        <f t="shared" si="26"/>
        <v>4.3695044803775387</v>
      </c>
      <c r="R41" s="4">
        <f>1031.82</f>
        <v>1031.82</v>
      </c>
      <c r="S41" s="4">
        <f>1381.58</f>
        <v>1381.58</v>
      </c>
      <c r="T41" s="4">
        <f t="shared" si="27"/>
        <v>-349.76</v>
      </c>
      <c r="U41" s="5">
        <f t="shared" si="28"/>
        <v>0.74684057383575331</v>
      </c>
      <c r="V41" s="4">
        <f>1031.82</f>
        <v>1031.82</v>
      </c>
      <c r="W41" s="4">
        <f>1381.58</f>
        <v>1381.58</v>
      </c>
      <c r="X41" s="4">
        <f t="shared" si="29"/>
        <v>-349.76</v>
      </c>
      <c r="Y41" s="5">
        <f t="shared" si="30"/>
        <v>0.74684057383575331</v>
      </c>
      <c r="Z41" s="4">
        <f>1031.82</f>
        <v>1031.82</v>
      </c>
      <c r="AA41" s="4">
        <f>1381.58</f>
        <v>1381.58</v>
      </c>
      <c r="AB41" s="4">
        <f t="shared" si="31"/>
        <v>-349.76</v>
      </c>
      <c r="AC41" s="5">
        <f t="shared" si="32"/>
        <v>0.74684057383575331</v>
      </c>
      <c r="AD41" s="4">
        <f>1031.82</f>
        <v>1031.82</v>
      </c>
      <c r="AE41" s="4">
        <f>1381.58</f>
        <v>1381.58</v>
      </c>
      <c r="AF41" s="4">
        <f t="shared" si="33"/>
        <v>-349.76</v>
      </c>
      <c r="AG41" s="5">
        <f t="shared" si="34"/>
        <v>0.74684057383575331</v>
      </c>
      <c r="AH41" s="4">
        <f t="shared" si="35"/>
        <v>13086.359999999999</v>
      </c>
      <c r="AI41" s="4">
        <f t="shared" si="36"/>
        <v>11052.64</v>
      </c>
      <c r="AJ41" s="4">
        <f t="shared" si="37"/>
        <v>2033.7199999999993</v>
      </c>
      <c r="AK41" s="5">
        <f t="shared" si="38"/>
        <v>1.1840030979024017</v>
      </c>
    </row>
    <row r="42" spans="1:37" x14ac:dyDescent="0.25">
      <c r="A42" s="2" t="s">
        <v>48</v>
      </c>
      <c r="B42" s="4">
        <f>555.6</f>
        <v>555.6</v>
      </c>
      <c r="C42" s="4">
        <f>743.93</f>
        <v>743.93</v>
      </c>
      <c r="D42" s="4">
        <f t="shared" si="19"/>
        <v>-188.32999999999993</v>
      </c>
      <c r="E42" s="5">
        <f t="shared" si="20"/>
        <v>0.7468444611724222</v>
      </c>
      <c r="F42" s="4">
        <f>555.6</f>
        <v>555.6</v>
      </c>
      <c r="G42" s="4">
        <f>743.93</f>
        <v>743.93</v>
      </c>
      <c r="H42" s="4">
        <f t="shared" si="21"/>
        <v>-188.32999999999993</v>
      </c>
      <c r="I42" s="5">
        <f t="shared" si="22"/>
        <v>0.7468444611724222</v>
      </c>
      <c r="J42" s="4">
        <f>462.34</f>
        <v>462.34</v>
      </c>
      <c r="K42" s="4">
        <f>743.93</f>
        <v>743.93</v>
      </c>
      <c r="L42" s="4">
        <f t="shared" si="23"/>
        <v>-281.58999999999997</v>
      </c>
      <c r="M42" s="5">
        <f t="shared" si="24"/>
        <v>0.62148320406489854</v>
      </c>
      <c r="N42" s="4">
        <f>3250.6</f>
        <v>3250.6</v>
      </c>
      <c r="O42" s="4">
        <f>743.93</f>
        <v>743.93</v>
      </c>
      <c r="P42" s="4">
        <f t="shared" si="25"/>
        <v>2506.67</v>
      </c>
      <c r="Q42" s="5">
        <f t="shared" si="26"/>
        <v>4.3694971301063275</v>
      </c>
      <c r="R42" s="4">
        <f>555.6</f>
        <v>555.6</v>
      </c>
      <c r="S42" s="4">
        <f>743.93</f>
        <v>743.93</v>
      </c>
      <c r="T42" s="4">
        <f t="shared" si="27"/>
        <v>-188.32999999999993</v>
      </c>
      <c r="U42" s="5">
        <f t="shared" si="28"/>
        <v>0.7468444611724222</v>
      </c>
      <c r="V42" s="4">
        <f>555.6</f>
        <v>555.6</v>
      </c>
      <c r="W42" s="4">
        <f>743.93</f>
        <v>743.93</v>
      </c>
      <c r="X42" s="4">
        <f t="shared" si="29"/>
        <v>-188.32999999999993</v>
      </c>
      <c r="Y42" s="5">
        <f t="shared" si="30"/>
        <v>0.7468444611724222</v>
      </c>
      <c r="Z42" s="4">
        <f>555.6</f>
        <v>555.6</v>
      </c>
      <c r="AA42" s="4">
        <f>743.93</f>
        <v>743.93</v>
      </c>
      <c r="AB42" s="4">
        <f t="shared" si="31"/>
        <v>-188.32999999999993</v>
      </c>
      <c r="AC42" s="5">
        <f t="shared" si="32"/>
        <v>0.7468444611724222</v>
      </c>
      <c r="AD42" s="4">
        <f>555.6</f>
        <v>555.6</v>
      </c>
      <c r="AE42" s="4">
        <f>743.93</f>
        <v>743.93</v>
      </c>
      <c r="AF42" s="4">
        <f t="shared" si="33"/>
        <v>-188.32999999999993</v>
      </c>
      <c r="AG42" s="5">
        <f t="shared" si="34"/>
        <v>0.7468444611724222</v>
      </c>
      <c r="AH42" s="4">
        <f t="shared" si="35"/>
        <v>7046.5400000000009</v>
      </c>
      <c r="AI42" s="4">
        <f t="shared" si="36"/>
        <v>5951.4400000000005</v>
      </c>
      <c r="AJ42" s="4">
        <f t="shared" si="37"/>
        <v>1095.1000000000004</v>
      </c>
      <c r="AK42" s="5">
        <f t="shared" si="38"/>
        <v>1.1840058876507198</v>
      </c>
    </row>
    <row r="43" spans="1:37" x14ac:dyDescent="0.25">
      <c r="A43" s="2" t="s">
        <v>49</v>
      </c>
      <c r="B43" s="4">
        <f>0</f>
        <v>0</v>
      </c>
      <c r="C43" s="3"/>
      <c r="D43" s="4">
        <f t="shared" si="19"/>
        <v>0</v>
      </c>
      <c r="E43" s="5" t="str">
        <f t="shared" si="20"/>
        <v/>
      </c>
      <c r="F43" s="4">
        <f>0</f>
        <v>0</v>
      </c>
      <c r="G43" s="3"/>
      <c r="H43" s="4">
        <f t="shared" si="21"/>
        <v>0</v>
      </c>
      <c r="I43" s="5" t="str">
        <f t="shared" si="22"/>
        <v/>
      </c>
      <c r="J43" s="4">
        <f>0</f>
        <v>0</v>
      </c>
      <c r="K43" s="3"/>
      <c r="L43" s="4">
        <f t="shared" si="23"/>
        <v>0</v>
      </c>
      <c r="M43" s="5" t="str">
        <f t="shared" si="24"/>
        <v/>
      </c>
      <c r="N43" s="4">
        <f>0</f>
        <v>0</v>
      </c>
      <c r="O43" s="3"/>
      <c r="P43" s="4">
        <f t="shared" si="25"/>
        <v>0</v>
      </c>
      <c r="Q43" s="5" t="str">
        <f t="shared" si="26"/>
        <v/>
      </c>
      <c r="R43" s="4">
        <f>0</f>
        <v>0</v>
      </c>
      <c r="S43" s="3"/>
      <c r="T43" s="4">
        <f t="shared" si="27"/>
        <v>0</v>
      </c>
      <c r="U43" s="5" t="str">
        <f t="shared" si="28"/>
        <v/>
      </c>
      <c r="V43" s="4">
        <f>0</f>
        <v>0</v>
      </c>
      <c r="W43" s="3"/>
      <c r="X43" s="4">
        <f t="shared" si="29"/>
        <v>0</v>
      </c>
      <c r="Y43" s="5" t="str">
        <f t="shared" si="30"/>
        <v/>
      </c>
      <c r="Z43" s="4">
        <f>0</f>
        <v>0</v>
      </c>
      <c r="AA43" s="3"/>
      <c r="AB43" s="4">
        <f t="shared" si="31"/>
        <v>0</v>
      </c>
      <c r="AC43" s="5" t="str">
        <f t="shared" si="32"/>
        <v/>
      </c>
      <c r="AD43" s="4">
        <f>0</f>
        <v>0</v>
      </c>
      <c r="AE43" s="3"/>
      <c r="AF43" s="4">
        <f t="shared" si="33"/>
        <v>0</v>
      </c>
      <c r="AG43" s="5" t="str">
        <f t="shared" si="34"/>
        <v/>
      </c>
      <c r="AH43" s="4">
        <f t="shared" si="35"/>
        <v>0</v>
      </c>
      <c r="AI43" s="4">
        <f t="shared" si="36"/>
        <v>0</v>
      </c>
      <c r="AJ43" s="4">
        <f t="shared" si="37"/>
        <v>0</v>
      </c>
      <c r="AK43" s="5" t="str">
        <f t="shared" si="38"/>
        <v/>
      </c>
    </row>
    <row r="44" spans="1:37" x14ac:dyDescent="0.25">
      <c r="A44" s="2" t="s">
        <v>50</v>
      </c>
      <c r="B44" s="6">
        <f>(((B40)+(B41))+(B42))+(B43)</f>
        <v>1587.42</v>
      </c>
      <c r="C44" s="6">
        <f>(((C40)+(C41))+(C42))+(C43)</f>
        <v>2125.5099999999998</v>
      </c>
      <c r="D44" s="6">
        <f t="shared" si="19"/>
        <v>-538.08999999999969</v>
      </c>
      <c r="E44" s="7">
        <f t="shared" si="20"/>
        <v>0.74684193440633084</v>
      </c>
      <c r="F44" s="6">
        <f>(((F40)+(F41))+(F42))+(F43)</f>
        <v>1587.42</v>
      </c>
      <c r="G44" s="6">
        <f>(((G40)+(G41))+(G42))+(G43)</f>
        <v>2125.5099999999998</v>
      </c>
      <c r="H44" s="6">
        <f t="shared" si="21"/>
        <v>-538.08999999999969</v>
      </c>
      <c r="I44" s="7">
        <f t="shared" si="22"/>
        <v>0.74684193440633084</v>
      </c>
      <c r="J44" s="6">
        <f>(((J40)+(J41))+(J42))+(J43)</f>
        <v>1320.96</v>
      </c>
      <c r="K44" s="6">
        <f>(((K40)+(K41))+(K42))+(K43)</f>
        <v>2125.5099999999998</v>
      </c>
      <c r="L44" s="6">
        <f t="shared" si="23"/>
        <v>-804.54999999999973</v>
      </c>
      <c r="M44" s="7">
        <f t="shared" si="24"/>
        <v>0.62147908031484222</v>
      </c>
      <c r="N44" s="6">
        <f>(((N40)+(N41))+(N42))+(N43)</f>
        <v>9287.42</v>
      </c>
      <c r="O44" s="6">
        <f>(((O40)+(O41))+(O42))+(O43)</f>
        <v>2125.5099999999998</v>
      </c>
      <c r="P44" s="6">
        <f t="shared" si="25"/>
        <v>7161.91</v>
      </c>
      <c r="Q44" s="7">
        <f t="shared" si="26"/>
        <v>4.369501907777428</v>
      </c>
      <c r="R44" s="6">
        <f>(((R40)+(R41))+(R42))+(R43)</f>
        <v>1587.42</v>
      </c>
      <c r="S44" s="6">
        <f>(((S40)+(S41))+(S42))+(S43)</f>
        <v>2125.5099999999998</v>
      </c>
      <c r="T44" s="6">
        <f t="shared" si="27"/>
        <v>-538.08999999999969</v>
      </c>
      <c r="U44" s="7">
        <f t="shared" si="28"/>
        <v>0.74684193440633084</v>
      </c>
      <c r="V44" s="6">
        <f>(((V40)+(V41))+(V42))+(V43)</f>
        <v>1587.42</v>
      </c>
      <c r="W44" s="6">
        <f>(((W40)+(W41))+(W42))+(W43)</f>
        <v>2125.5099999999998</v>
      </c>
      <c r="X44" s="6">
        <f t="shared" si="29"/>
        <v>-538.08999999999969</v>
      </c>
      <c r="Y44" s="7">
        <f t="shared" si="30"/>
        <v>0.74684193440633084</v>
      </c>
      <c r="Z44" s="6">
        <f>(((Z40)+(Z41))+(Z42))+(Z43)</f>
        <v>1587.42</v>
      </c>
      <c r="AA44" s="6">
        <f>(((AA40)+(AA41))+(AA42))+(AA43)</f>
        <v>2125.5099999999998</v>
      </c>
      <c r="AB44" s="6">
        <f t="shared" si="31"/>
        <v>-538.08999999999969</v>
      </c>
      <c r="AC44" s="7">
        <f t="shared" si="32"/>
        <v>0.74684193440633084</v>
      </c>
      <c r="AD44" s="6">
        <f>(((AD40)+(AD41))+(AD42))+(AD43)</f>
        <v>1587.42</v>
      </c>
      <c r="AE44" s="6">
        <f>(((AE40)+(AE41))+(AE42))+(AE43)</f>
        <v>2125.5099999999998</v>
      </c>
      <c r="AF44" s="6">
        <f t="shared" si="33"/>
        <v>-538.08999999999969</v>
      </c>
      <c r="AG44" s="7">
        <f t="shared" si="34"/>
        <v>0.74684193440633084</v>
      </c>
      <c r="AH44" s="6">
        <f t="shared" si="35"/>
        <v>20132.900000000001</v>
      </c>
      <c r="AI44" s="6">
        <f t="shared" si="36"/>
        <v>17004.079999999998</v>
      </c>
      <c r="AJ44" s="6">
        <f t="shared" si="37"/>
        <v>3128.8200000000033</v>
      </c>
      <c r="AK44" s="7">
        <f t="shared" si="38"/>
        <v>1.1840040743162819</v>
      </c>
    </row>
    <row r="45" spans="1:37" x14ac:dyDescent="0.25">
      <c r="A45" s="2" t="s">
        <v>51</v>
      </c>
      <c r="B45" s="3"/>
      <c r="C45" s="3"/>
      <c r="D45" s="4">
        <f t="shared" si="19"/>
        <v>0</v>
      </c>
      <c r="E45" s="5" t="str">
        <f t="shared" si="20"/>
        <v/>
      </c>
      <c r="F45" s="3"/>
      <c r="G45" s="3"/>
      <c r="H45" s="4">
        <f t="shared" si="21"/>
        <v>0</v>
      </c>
      <c r="I45" s="5" t="str">
        <f t="shared" si="22"/>
        <v/>
      </c>
      <c r="J45" s="3"/>
      <c r="K45" s="3"/>
      <c r="L45" s="4">
        <f t="shared" si="23"/>
        <v>0</v>
      </c>
      <c r="M45" s="5" t="str">
        <f t="shared" si="24"/>
        <v/>
      </c>
      <c r="N45" s="3"/>
      <c r="O45" s="3"/>
      <c r="P45" s="4">
        <f t="shared" si="25"/>
        <v>0</v>
      </c>
      <c r="Q45" s="5" t="str">
        <f t="shared" si="26"/>
        <v/>
      </c>
      <c r="R45" s="3"/>
      <c r="S45" s="3"/>
      <c r="T45" s="4">
        <f t="shared" si="27"/>
        <v>0</v>
      </c>
      <c r="U45" s="5" t="str">
        <f t="shared" si="28"/>
        <v/>
      </c>
      <c r="V45" s="3"/>
      <c r="W45" s="3"/>
      <c r="X45" s="4">
        <f t="shared" si="29"/>
        <v>0</v>
      </c>
      <c r="Y45" s="5" t="str">
        <f t="shared" si="30"/>
        <v/>
      </c>
      <c r="Z45" s="3"/>
      <c r="AA45" s="3"/>
      <c r="AB45" s="4">
        <f t="shared" si="31"/>
        <v>0</v>
      </c>
      <c r="AC45" s="5" t="str">
        <f t="shared" si="32"/>
        <v/>
      </c>
      <c r="AD45" s="3"/>
      <c r="AE45" s="3"/>
      <c r="AF45" s="4">
        <f t="shared" si="33"/>
        <v>0</v>
      </c>
      <c r="AG45" s="5" t="str">
        <f t="shared" si="34"/>
        <v/>
      </c>
      <c r="AH45" s="4">
        <f t="shared" si="35"/>
        <v>0</v>
      </c>
      <c r="AI45" s="4">
        <f t="shared" si="36"/>
        <v>0</v>
      </c>
      <c r="AJ45" s="4">
        <f t="shared" si="37"/>
        <v>0</v>
      </c>
      <c r="AK45" s="5" t="str">
        <f t="shared" si="38"/>
        <v/>
      </c>
    </row>
    <row r="46" spans="1:37" x14ac:dyDescent="0.25">
      <c r="A46" s="2" t="s">
        <v>52</v>
      </c>
      <c r="B46" s="4">
        <f>210.98</f>
        <v>210.98</v>
      </c>
      <c r="C46" s="4">
        <f>210.98</f>
        <v>210.98</v>
      </c>
      <c r="D46" s="4">
        <f t="shared" si="19"/>
        <v>0</v>
      </c>
      <c r="E46" s="5">
        <f t="shared" si="20"/>
        <v>1</v>
      </c>
      <c r="F46" s="4">
        <f>210.98</f>
        <v>210.98</v>
      </c>
      <c r="G46" s="4">
        <f>210.98</f>
        <v>210.98</v>
      </c>
      <c r="H46" s="4">
        <f t="shared" si="21"/>
        <v>0</v>
      </c>
      <c r="I46" s="5">
        <f t="shared" si="22"/>
        <v>1</v>
      </c>
      <c r="J46" s="4">
        <f>210.98</f>
        <v>210.98</v>
      </c>
      <c r="K46" s="4">
        <f>210.98</f>
        <v>210.98</v>
      </c>
      <c r="L46" s="4">
        <f t="shared" si="23"/>
        <v>0</v>
      </c>
      <c r="M46" s="5">
        <f t="shared" si="24"/>
        <v>1</v>
      </c>
      <c r="N46" s="4">
        <f>210.98</f>
        <v>210.98</v>
      </c>
      <c r="O46" s="4">
        <f>210.98</f>
        <v>210.98</v>
      </c>
      <c r="P46" s="4">
        <f t="shared" si="25"/>
        <v>0</v>
      </c>
      <c r="Q46" s="5">
        <f t="shared" si="26"/>
        <v>1</v>
      </c>
      <c r="R46" s="4">
        <f>259.69</f>
        <v>259.69</v>
      </c>
      <c r="S46" s="4">
        <f>210.98</f>
        <v>210.98</v>
      </c>
      <c r="T46" s="4">
        <f t="shared" si="27"/>
        <v>48.710000000000008</v>
      </c>
      <c r="U46" s="5">
        <f t="shared" si="28"/>
        <v>1.2308749644516068</v>
      </c>
      <c r="V46" s="4">
        <f>219.1</f>
        <v>219.1</v>
      </c>
      <c r="W46" s="4">
        <f>210.98</f>
        <v>210.98</v>
      </c>
      <c r="X46" s="4">
        <f t="shared" si="29"/>
        <v>8.1200000000000045</v>
      </c>
      <c r="Y46" s="5">
        <f t="shared" si="30"/>
        <v>1.0384870603848706</v>
      </c>
      <c r="Z46" s="4">
        <f>219.1</f>
        <v>219.1</v>
      </c>
      <c r="AA46" s="4">
        <f>210.98</f>
        <v>210.98</v>
      </c>
      <c r="AB46" s="4">
        <f t="shared" si="31"/>
        <v>8.1200000000000045</v>
      </c>
      <c r="AC46" s="5">
        <f t="shared" si="32"/>
        <v>1.0384870603848706</v>
      </c>
      <c r="AD46" s="4">
        <f>219.1</f>
        <v>219.1</v>
      </c>
      <c r="AE46" s="4">
        <f>210.98</f>
        <v>210.98</v>
      </c>
      <c r="AF46" s="4">
        <f t="shared" si="33"/>
        <v>8.1200000000000045</v>
      </c>
      <c r="AG46" s="5">
        <f t="shared" si="34"/>
        <v>1.0384870603848706</v>
      </c>
      <c r="AH46" s="4">
        <f t="shared" si="35"/>
        <v>1760.9099999999996</v>
      </c>
      <c r="AI46" s="4">
        <f t="shared" si="36"/>
        <v>1687.84</v>
      </c>
      <c r="AJ46" s="4">
        <f t="shared" si="37"/>
        <v>73.069999999999709</v>
      </c>
      <c r="AK46" s="5">
        <f t="shared" si="38"/>
        <v>1.0432920182007772</v>
      </c>
    </row>
    <row r="47" spans="1:37" x14ac:dyDescent="0.25">
      <c r="A47" s="2" t="s">
        <v>53</v>
      </c>
      <c r="B47" s="4">
        <f>113.61</f>
        <v>113.61</v>
      </c>
      <c r="C47" s="4">
        <f>113.6</f>
        <v>113.6</v>
      </c>
      <c r="D47" s="4">
        <f t="shared" ref="D47:D78" si="39">(B47)-(C47)</f>
        <v>1.0000000000005116E-2</v>
      </c>
      <c r="E47" s="5">
        <f t="shared" ref="E47:E78" si="40">IF(C47=0,"",(B47)/(C47))</f>
        <v>1.0000880281690141</v>
      </c>
      <c r="F47" s="4">
        <f>113.61</f>
        <v>113.61</v>
      </c>
      <c r="G47" s="4">
        <f>113.6</f>
        <v>113.6</v>
      </c>
      <c r="H47" s="4">
        <f t="shared" ref="H47:H78" si="41">(F47)-(G47)</f>
        <v>1.0000000000005116E-2</v>
      </c>
      <c r="I47" s="5">
        <f t="shared" ref="I47:I78" si="42">IF(G47=0,"",(F47)/(G47))</f>
        <v>1.0000880281690141</v>
      </c>
      <c r="J47" s="4">
        <f>113.61</f>
        <v>113.61</v>
      </c>
      <c r="K47" s="4">
        <f>113.6</f>
        <v>113.6</v>
      </c>
      <c r="L47" s="4">
        <f t="shared" ref="L47:L78" si="43">(J47)-(K47)</f>
        <v>1.0000000000005116E-2</v>
      </c>
      <c r="M47" s="5">
        <f t="shared" ref="M47:M78" si="44">IF(K47=0,"",(J47)/(K47))</f>
        <v>1.0000880281690141</v>
      </c>
      <c r="N47" s="4">
        <f>113.61</f>
        <v>113.61</v>
      </c>
      <c r="O47" s="4">
        <f>113.6</f>
        <v>113.6</v>
      </c>
      <c r="P47" s="4">
        <f t="shared" ref="P47:P78" si="45">(N47)-(O47)</f>
        <v>1.0000000000005116E-2</v>
      </c>
      <c r="Q47" s="5">
        <f t="shared" ref="Q47:Q78" si="46">IF(O47=0,"",(N47)/(O47))</f>
        <v>1.0000880281690141</v>
      </c>
      <c r="R47" s="4">
        <f>139.84</f>
        <v>139.84</v>
      </c>
      <c r="S47" s="4">
        <f>113.6</f>
        <v>113.6</v>
      </c>
      <c r="T47" s="4">
        <f t="shared" ref="T47:T78" si="47">(R47)-(S47)</f>
        <v>26.240000000000009</v>
      </c>
      <c r="U47" s="5">
        <f t="shared" ref="U47:U78" si="48">IF(S47=0,"",(R47)/(S47))</f>
        <v>1.2309859154929579</v>
      </c>
      <c r="V47" s="4">
        <f>117.98</f>
        <v>117.98</v>
      </c>
      <c r="W47" s="4">
        <f>113.6</f>
        <v>113.6</v>
      </c>
      <c r="X47" s="4">
        <f t="shared" ref="X47:X78" si="49">(V47)-(W47)</f>
        <v>4.3800000000000097</v>
      </c>
      <c r="Y47" s="5">
        <f t="shared" ref="Y47:Y78" si="50">IF(W47=0,"",(V47)/(W47))</f>
        <v>1.038556338028169</v>
      </c>
      <c r="Z47" s="4">
        <f>117.98</f>
        <v>117.98</v>
      </c>
      <c r="AA47" s="4">
        <f>113.6</f>
        <v>113.6</v>
      </c>
      <c r="AB47" s="4">
        <f t="shared" ref="AB47:AB78" si="51">(Z47)-(AA47)</f>
        <v>4.3800000000000097</v>
      </c>
      <c r="AC47" s="5">
        <f t="shared" ref="AC47:AC78" si="52">IF(AA47=0,"",(Z47)/(AA47))</f>
        <v>1.038556338028169</v>
      </c>
      <c r="AD47" s="4">
        <f>117.98</f>
        <v>117.98</v>
      </c>
      <c r="AE47" s="4">
        <f>113.6</f>
        <v>113.6</v>
      </c>
      <c r="AF47" s="4">
        <f t="shared" ref="AF47:AF78" si="53">(AD47)-(AE47)</f>
        <v>4.3800000000000097</v>
      </c>
      <c r="AG47" s="5">
        <f t="shared" ref="AG47:AG78" si="54">IF(AE47=0,"",(AD47)/(AE47))</f>
        <v>1.038556338028169</v>
      </c>
      <c r="AH47" s="4">
        <f t="shared" ref="AH47:AH78" si="55">(((((((B47)+(F47))+(J47))+(N47))+(R47))+(V47))+(Z47))+(AD47)</f>
        <v>948.22</v>
      </c>
      <c r="AI47" s="4">
        <f t="shared" ref="AI47:AI78" si="56">(((((((C47)+(G47))+(K47))+(O47))+(S47))+(W47))+(AA47))+(AE47)</f>
        <v>908.80000000000007</v>
      </c>
      <c r="AJ47" s="4">
        <f t="shared" ref="AJ47:AJ78" si="57">(AH47)-(AI47)</f>
        <v>39.419999999999959</v>
      </c>
      <c r="AK47" s="5">
        <f t="shared" ref="AK47:AK78" si="58">IF(AI47=0,"",(AH47)/(AI47))</f>
        <v>1.0433758802816901</v>
      </c>
    </row>
    <row r="48" spans="1:37" x14ac:dyDescent="0.25">
      <c r="A48" s="2" t="s">
        <v>54</v>
      </c>
      <c r="B48" s="4">
        <f>0</f>
        <v>0</v>
      </c>
      <c r="C48" s="3"/>
      <c r="D48" s="4">
        <f t="shared" si="39"/>
        <v>0</v>
      </c>
      <c r="E48" s="5" t="str">
        <f t="shared" si="40"/>
        <v/>
      </c>
      <c r="F48" s="4">
        <f>0</f>
        <v>0</v>
      </c>
      <c r="G48" s="3"/>
      <c r="H48" s="4">
        <f t="shared" si="41"/>
        <v>0</v>
      </c>
      <c r="I48" s="5" t="str">
        <f t="shared" si="42"/>
        <v/>
      </c>
      <c r="J48" s="4">
        <f>0</f>
        <v>0</v>
      </c>
      <c r="K48" s="3"/>
      <c r="L48" s="4">
        <f t="shared" si="43"/>
        <v>0</v>
      </c>
      <c r="M48" s="5" t="str">
        <f t="shared" si="44"/>
        <v/>
      </c>
      <c r="N48" s="4">
        <f>0</f>
        <v>0</v>
      </c>
      <c r="O48" s="3"/>
      <c r="P48" s="4">
        <f t="shared" si="45"/>
        <v>0</v>
      </c>
      <c r="Q48" s="5" t="str">
        <f t="shared" si="46"/>
        <v/>
      </c>
      <c r="R48" s="4">
        <f>0</f>
        <v>0</v>
      </c>
      <c r="S48" s="3"/>
      <c r="T48" s="4">
        <f t="shared" si="47"/>
        <v>0</v>
      </c>
      <c r="U48" s="5" t="str">
        <f t="shared" si="48"/>
        <v/>
      </c>
      <c r="V48" s="4">
        <f>0</f>
        <v>0</v>
      </c>
      <c r="W48" s="3"/>
      <c r="X48" s="4">
        <f t="shared" si="49"/>
        <v>0</v>
      </c>
      <c r="Y48" s="5" t="str">
        <f t="shared" si="50"/>
        <v/>
      </c>
      <c r="Z48" s="4">
        <f>0</f>
        <v>0</v>
      </c>
      <c r="AA48" s="3"/>
      <c r="AB48" s="4">
        <f t="shared" si="51"/>
        <v>0</v>
      </c>
      <c r="AC48" s="5" t="str">
        <f t="shared" si="52"/>
        <v/>
      </c>
      <c r="AD48" s="4">
        <f>0</f>
        <v>0</v>
      </c>
      <c r="AE48" s="3"/>
      <c r="AF48" s="4">
        <f t="shared" si="53"/>
        <v>0</v>
      </c>
      <c r="AG48" s="5" t="str">
        <f t="shared" si="54"/>
        <v/>
      </c>
      <c r="AH48" s="4">
        <f t="shared" si="55"/>
        <v>0</v>
      </c>
      <c r="AI48" s="4">
        <f t="shared" si="56"/>
        <v>0</v>
      </c>
      <c r="AJ48" s="4">
        <f t="shared" si="57"/>
        <v>0</v>
      </c>
      <c r="AK48" s="5" t="str">
        <f t="shared" si="58"/>
        <v/>
      </c>
    </row>
    <row r="49" spans="1:37" x14ac:dyDescent="0.25">
      <c r="A49" s="2" t="s">
        <v>55</v>
      </c>
      <c r="B49" s="6">
        <f>(((B45)+(B46))+(B47))+(B48)</f>
        <v>324.58999999999997</v>
      </c>
      <c r="C49" s="6">
        <f>(((C45)+(C46))+(C47))+(C48)</f>
        <v>324.58</v>
      </c>
      <c r="D49" s="6">
        <f t="shared" si="39"/>
        <v>9.9999999999909051E-3</v>
      </c>
      <c r="E49" s="7">
        <f t="shared" si="40"/>
        <v>1.0000308090455357</v>
      </c>
      <c r="F49" s="6">
        <f>(((F45)+(F46))+(F47))+(F48)</f>
        <v>324.58999999999997</v>
      </c>
      <c r="G49" s="6">
        <f>(((G45)+(G46))+(G47))+(G48)</f>
        <v>324.58</v>
      </c>
      <c r="H49" s="6">
        <f t="shared" si="41"/>
        <v>9.9999999999909051E-3</v>
      </c>
      <c r="I49" s="7">
        <f t="shared" si="42"/>
        <v>1.0000308090455357</v>
      </c>
      <c r="J49" s="6">
        <f>(((J45)+(J46))+(J47))+(J48)</f>
        <v>324.58999999999997</v>
      </c>
      <c r="K49" s="6">
        <f>(((K45)+(K46))+(K47))+(K48)</f>
        <v>324.58</v>
      </c>
      <c r="L49" s="6">
        <f t="shared" si="43"/>
        <v>9.9999999999909051E-3</v>
      </c>
      <c r="M49" s="7">
        <f t="shared" si="44"/>
        <v>1.0000308090455357</v>
      </c>
      <c r="N49" s="6">
        <f>(((N45)+(N46))+(N47))+(N48)</f>
        <v>324.58999999999997</v>
      </c>
      <c r="O49" s="6">
        <f>(((O45)+(O46))+(O47))+(O48)</f>
        <v>324.58</v>
      </c>
      <c r="P49" s="6">
        <f t="shared" si="45"/>
        <v>9.9999999999909051E-3</v>
      </c>
      <c r="Q49" s="7">
        <f t="shared" si="46"/>
        <v>1.0000308090455357</v>
      </c>
      <c r="R49" s="6">
        <f>(((R45)+(R46))+(R47))+(R48)</f>
        <v>399.53</v>
      </c>
      <c r="S49" s="6">
        <f>(((S45)+(S46))+(S47))+(S48)</f>
        <v>324.58</v>
      </c>
      <c r="T49" s="6">
        <f t="shared" si="47"/>
        <v>74.949999999999989</v>
      </c>
      <c r="U49" s="7">
        <f t="shared" si="48"/>
        <v>1.2309137962905909</v>
      </c>
      <c r="V49" s="6">
        <f>(((V45)+(V46))+(V47))+(V48)</f>
        <v>337.08</v>
      </c>
      <c r="W49" s="6">
        <f>(((W45)+(W46))+(W47))+(W48)</f>
        <v>324.58</v>
      </c>
      <c r="X49" s="6">
        <f t="shared" si="49"/>
        <v>12.5</v>
      </c>
      <c r="Y49" s="7">
        <f t="shared" si="50"/>
        <v>1.0385113069197116</v>
      </c>
      <c r="Z49" s="6">
        <f>(((Z45)+(Z46))+(Z47))+(Z48)</f>
        <v>337.08</v>
      </c>
      <c r="AA49" s="6">
        <f>(((AA45)+(AA46))+(AA47))+(AA48)</f>
        <v>324.58</v>
      </c>
      <c r="AB49" s="6">
        <f t="shared" si="51"/>
        <v>12.5</v>
      </c>
      <c r="AC49" s="7">
        <f t="shared" si="52"/>
        <v>1.0385113069197116</v>
      </c>
      <c r="AD49" s="6">
        <f>(((AD45)+(AD46))+(AD47))+(AD48)</f>
        <v>337.08</v>
      </c>
      <c r="AE49" s="6">
        <f>(((AE45)+(AE46))+(AE47))+(AE48)</f>
        <v>324.58</v>
      </c>
      <c r="AF49" s="6">
        <f t="shared" si="53"/>
        <v>12.5</v>
      </c>
      <c r="AG49" s="7">
        <f t="shared" si="54"/>
        <v>1.0385113069197116</v>
      </c>
      <c r="AH49" s="6">
        <f t="shared" si="55"/>
        <v>2709.1299999999997</v>
      </c>
      <c r="AI49" s="6">
        <f t="shared" si="56"/>
        <v>2596.64</v>
      </c>
      <c r="AJ49" s="6">
        <f t="shared" si="57"/>
        <v>112.48999999999978</v>
      </c>
      <c r="AK49" s="7">
        <f t="shared" si="58"/>
        <v>1.0433213691539835</v>
      </c>
    </row>
    <row r="50" spans="1:37" x14ac:dyDescent="0.25">
      <c r="A50" s="2" t="s">
        <v>56</v>
      </c>
      <c r="B50" s="3"/>
      <c r="C50" s="3"/>
      <c r="D50" s="4">
        <f t="shared" si="39"/>
        <v>0</v>
      </c>
      <c r="E50" s="5" t="str">
        <f t="shared" si="40"/>
        <v/>
      </c>
      <c r="F50" s="3"/>
      <c r="G50" s="3"/>
      <c r="H50" s="4">
        <f t="shared" si="41"/>
        <v>0</v>
      </c>
      <c r="I50" s="5" t="str">
        <f t="shared" si="42"/>
        <v/>
      </c>
      <c r="J50" s="3"/>
      <c r="K50" s="3"/>
      <c r="L50" s="4">
        <f t="shared" si="43"/>
        <v>0</v>
      </c>
      <c r="M50" s="5" t="str">
        <f t="shared" si="44"/>
        <v/>
      </c>
      <c r="N50" s="3"/>
      <c r="O50" s="3"/>
      <c r="P50" s="4">
        <f t="shared" si="45"/>
        <v>0</v>
      </c>
      <c r="Q50" s="5" t="str">
        <f t="shared" si="46"/>
        <v/>
      </c>
      <c r="R50" s="3"/>
      <c r="S50" s="3"/>
      <c r="T50" s="4">
        <f t="shared" si="47"/>
        <v>0</v>
      </c>
      <c r="U50" s="5" t="str">
        <f t="shared" si="48"/>
        <v/>
      </c>
      <c r="V50" s="3"/>
      <c r="W50" s="3"/>
      <c r="X50" s="4">
        <f t="shared" si="49"/>
        <v>0</v>
      </c>
      <c r="Y50" s="5" t="str">
        <f t="shared" si="50"/>
        <v/>
      </c>
      <c r="Z50" s="3"/>
      <c r="AA50" s="3"/>
      <c r="AB50" s="4">
        <f t="shared" si="51"/>
        <v>0</v>
      </c>
      <c r="AC50" s="5" t="str">
        <f t="shared" si="52"/>
        <v/>
      </c>
      <c r="AD50" s="3"/>
      <c r="AE50" s="3"/>
      <c r="AF50" s="4">
        <f t="shared" si="53"/>
        <v>0</v>
      </c>
      <c r="AG50" s="5" t="str">
        <f t="shared" si="54"/>
        <v/>
      </c>
      <c r="AH50" s="4">
        <f t="shared" si="55"/>
        <v>0</v>
      </c>
      <c r="AI50" s="4">
        <f t="shared" si="56"/>
        <v>0</v>
      </c>
      <c r="AJ50" s="4">
        <f t="shared" si="57"/>
        <v>0</v>
      </c>
      <c r="AK50" s="5" t="str">
        <f t="shared" si="58"/>
        <v/>
      </c>
    </row>
    <row r="51" spans="1:37" x14ac:dyDescent="0.25">
      <c r="A51" s="2" t="s">
        <v>57</v>
      </c>
      <c r="B51" s="4">
        <f>1086.94</f>
        <v>1086.94</v>
      </c>
      <c r="C51" s="4">
        <f>774.8</f>
        <v>774.8</v>
      </c>
      <c r="D51" s="4">
        <f t="shared" si="39"/>
        <v>312.1400000000001</v>
      </c>
      <c r="E51" s="5">
        <f t="shared" si="40"/>
        <v>1.4028652555498196</v>
      </c>
      <c r="F51" s="4">
        <f>680.25</f>
        <v>680.25</v>
      </c>
      <c r="G51" s="4">
        <f>774.8</f>
        <v>774.8</v>
      </c>
      <c r="H51" s="4">
        <f t="shared" si="41"/>
        <v>-94.549999999999955</v>
      </c>
      <c r="I51" s="5">
        <f t="shared" si="42"/>
        <v>0.87796850800206505</v>
      </c>
      <c r="J51" s="4">
        <f>666.54</f>
        <v>666.54</v>
      </c>
      <c r="K51" s="4">
        <f>774.8</f>
        <v>774.8</v>
      </c>
      <c r="L51" s="4">
        <f t="shared" si="43"/>
        <v>-108.25999999999999</v>
      </c>
      <c r="M51" s="5">
        <f t="shared" si="44"/>
        <v>0.86027361899845123</v>
      </c>
      <c r="N51" s="4">
        <f>657.4</f>
        <v>657.4</v>
      </c>
      <c r="O51" s="4">
        <f>774.8</f>
        <v>774.8</v>
      </c>
      <c r="P51" s="4">
        <f t="shared" si="45"/>
        <v>-117.39999999999998</v>
      </c>
      <c r="Q51" s="5">
        <f t="shared" si="46"/>
        <v>0.84847702632937538</v>
      </c>
      <c r="R51" s="4">
        <f>753.36</f>
        <v>753.36</v>
      </c>
      <c r="S51" s="4">
        <f>774.8</f>
        <v>774.8</v>
      </c>
      <c r="T51" s="4">
        <f t="shared" si="47"/>
        <v>-21.439999999999941</v>
      </c>
      <c r="U51" s="5">
        <f t="shared" si="48"/>
        <v>0.97232834279814151</v>
      </c>
      <c r="V51" s="4">
        <f>1141.17</f>
        <v>1141.17</v>
      </c>
      <c r="W51" s="4">
        <f>774.8</f>
        <v>774.8</v>
      </c>
      <c r="X51" s="4">
        <f t="shared" si="49"/>
        <v>366.37000000000012</v>
      </c>
      <c r="Y51" s="5">
        <f t="shared" si="50"/>
        <v>1.4728575116159011</v>
      </c>
      <c r="Z51" s="4">
        <f>693.96</f>
        <v>693.96</v>
      </c>
      <c r="AA51" s="4">
        <f>774.8</f>
        <v>774.8</v>
      </c>
      <c r="AB51" s="4">
        <f t="shared" si="51"/>
        <v>-80.839999999999918</v>
      </c>
      <c r="AC51" s="5">
        <f t="shared" si="52"/>
        <v>0.89566339700567899</v>
      </c>
      <c r="AD51" s="4">
        <f>707.67</f>
        <v>707.67</v>
      </c>
      <c r="AE51" s="4">
        <f>774.8</f>
        <v>774.8</v>
      </c>
      <c r="AF51" s="4">
        <f t="shared" si="53"/>
        <v>-67.13</v>
      </c>
      <c r="AG51" s="5">
        <f t="shared" si="54"/>
        <v>0.9133582860092927</v>
      </c>
      <c r="AH51" s="4">
        <f t="shared" si="55"/>
        <v>6387.29</v>
      </c>
      <c r="AI51" s="4">
        <f t="shared" si="56"/>
        <v>6198.4000000000005</v>
      </c>
      <c r="AJ51" s="4">
        <f t="shared" si="57"/>
        <v>188.88999999999942</v>
      </c>
      <c r="AK51" s="5">
        <f t="shared" si="58"/>
        <v>1.0304739932885905</v>
      </c>
    </row>
    <row r="52" spans="1:37" x14ac:dyDescent="0.25">
      <c r="A52" s="2" t="s">
        <v>58</v>
      </c>
      <c r="B52" s="4">
        <f>585.27</f>
        <v>585.27</v>
      </c>
      <c r="C52" s="4">
        <f>417.2</f>
        <v>417.2</v>
      </c>
      <c r="D52" s="4">
        <f t="shared" si="39"/>
        <v>168.07</v>
      </c>
      <c r="E52" s="5">
        <f t="shared" si="40"/>
        <v>1.4028523489932885</v>
      </c>
      <c r="F52" s="4">
        <f>366.29</f>
        <v>366.29</v>
      </c>
      <c r="G52" s="4">
        <f>417.2</f>
        <v>417.2</v>
      </c>
      <c r="H52" s="4">
        <f t="shared" si="41"/>
        <v>-50.909999999999968</v>
      </c>
      <c r="I52" s="5">
        <f t="shared" si="42"/>
        <v>0.87797219558964534</v>
      </c>
      <c r="J52" s="4">
        <f>358.91</f>
        <v>358.91</v>
      </c>
      <c r="K52" s="4">
        <f>417.2</f>
        <v>417.2</v>
      </c>
      <c r="L52" s="4">
        <f t="shared" si="43"/>
        <v>-58.289999999999964</v>
      </c>
      <c r="M52" s="5">
        <f t="shared" si="44"/>
        <v>0.86028283796740179</v>
      </c>
      <c r="N52" s="4">
        <f>353.99</f>
        <v>353.99</v>
      </c>
      <c r="O52" s="4">
        <f>417.2</f>
        <v>417.2</v>
      </c>
      <c r="P52" s="4">
        <f t="shared" si="45"/>
        <v>-63.20999999999998</v>
      </c>
      <c r="Q52" s="5">
        <f t="shared" si="46"/>
        <v>0.84848993288590613</v>
      </c>
      <c r="R52" s="4">
        <f>405.66</f>
        <v>405.66</v>
      </c>
      <c r="S52" s="4">
        <f>417.2</f>
        <v>417.2</v>
      </c>
      <c r="T52" s="4">
        <f t="shared" si="47"/>
        <v>-11.539999999999964</v>
      </c>
      <c r="U52" s="5">
        <f t="shared" si="48"/>
        <v>0.97233940556088216</v>
      </c>
      <c r="V52" s="4">
        <f>614.47</f>
        <v>614.47</v>
      </c>
      <c r="W52" s="4">
        <f>417.2</f>
        <v>417.2</v>
      </c>
      <c r="X52" s="4">
        <f t="shared" si="49"/>
        <v>197.27000000000004</v>
      </c>
      <c r="Y52" s="5">
        <f t="shared" si="50"/>
        <v>1.4728427612655801</v>
      </c>
      <c r="Z52" s="4">
        <f>373.67</f>
        <v>373.67</v>
      </c>
      <c r="AA52" s="4">
        <f>417.2</f>
        <v>417.2</v>
      </c>
      <c r="AB52" s="4">
        <f t="shared" si="51"/>
        <v>-43.529999999999973</v>
      </c>
      <c r="AC52" s="5">
        <f t="shared" si="52"/>
        <v>0.89566155321188889</v>
      </c>
      <c r="AD52" s="4">
        <f>381.05</f>
        <v>381.05</v>
      </c>
      <c r="AE52" s="4">
        <f>417.2</f>
        <v>417.2</v>
      </c>
      <c r="AF52" s="4">
        <f t="shared" si="53"/>
        <v>-36.149999999999977</v>
      </c>
      <c r="AG52" s="5">
        <f t="shared" si="54"/>
        <v>0.91335091083413233</v>
      </c>
      <c r="AH52" s="4">
        <f t="shared" si="55"/>
        <v>3439.3100000000004</v>
      </c>
      <c r="AI52" s="4">
        <f t="shared" si="56"/>
        <v>3337.5999999999995</v>
      </c>
      <c r="AJ52" s="4">
        <f t="shared" si="57"/>
        <v>101.71000000000095</v>
      </c>
      <c r="AK52" s="5">
        <f t="shared" si="58"/>
        <v>1.0304739932885909</v>
      </c>
    </row>
    <row r="53" spans="1:37" x14ac:dyDescent="0.25">
      <c r="A53" s="2" t="s">
        <v>59</v>
      </c>
      <c r="B53" s="4">
        <f>0</f>
        <v>0</v>
      </c>
      <c r="C53" s="3"/>
      <c r="D53" s="4">
        <f t="shared" si="39"/>
        <v>0</v>
      </c>
      <c r="E53" s="5" t="str">
        <f t="shared" si="40"/>
        <v/>
      </c>
      <c r="F53" s="4">
        <f>0</f>
        <v>0</v>
      </c>
      <c r="G53" s="3"/>
      <c r="H53" s="4">
        <f t="shared" si="41"/>
        <v>0</v>
      </c>
      <c r="I53" s="5" t="str">
        <f t="shared" si="42"/>
        <v/>
      </c>
      <c r="J53" s="4">
        <f>0</f>
        <v>0</v>
      </c>
      <c r="K53" s="3"/>
      <c r="L53" s="4">
        <f t="shared" si="43"/>
        <v>0</v>
      </c>
      <c r="M53" s="5" t="str">
        <f t="shared" si="44"/>
        <v/>
      </c>
      <c r="N53" s="4">
        <f>0</f>
        <v>0</v>
      </c>
      <c r="O53" s="3"/>
      <c r="P53" s="4">
        <f t="shared" si="45"/>
        <v>0</v>
      </c>
      <c r="Q53" s="5" t="str">
        <f t="shared" si="46"/>
        <v/>
      </c>
      <c r="R53" s="4">
        <f>0</f>
        <v>0</v>
      </c>
      <c r="S53" s="3"/>
      <c r="T53" s="4">
        <f t="shared" si="47"/>
        <v>0</v>
      </c>
      <c r="U53" s="5" t="str">
        <f t="shared" si="48"/>
        <v/>
      </c>
      <c r="V53" s="4">
        <f>0</f>
        <v>0</v>
      </c>
      <c r="W53" s="3"/>
      <c r="X53" s="4">
        <f t="shared" si="49"/>
        <v>0</v>
      </c>
      <c r="Y53" s="5" t="str">
        <f t="shared" si="50"/>
        <v/>
      </c>
      <c r="Z53" s="4">
        <f>0</f>
        <v>0</v>
      </c>
      <c r="AA53" s="3"/>
      <c r="AB53" s="4">
        <f t="shared" si="51"/>
        <v>0</v>
      </c>
      <c r="AC53" s="5" t="str">
        <f t="shared" si="52"/>
        <v/>
      </c>
      <c r="AD53" s="4">
        <f>0</f>
        <v>0</v>
      </c>
      <c r="AE53" s="3"/>
      <c r="AF53" s="4">
        <f t="shared" si="53"/>
        <v>0</v>
      </c>
      <c r="AG53" s="5" t="str">
        <f t="shared" si="54"/>
        <v/>
      </c>
      <c r="AH53" s="4">
        <f t="shared" si="55"/>
        <v>0</v>
      </c>
      <c r="AI53" s="4">
        <f t="shared" si="56"/>
        <v>0</v>
      </c>
      <c r="AJ53" s="4">
        <f t="shared" si="57"/>
        <v>0</v>
      </c>
      <c r="AK53" s="5" t="str">
        <f t="shared" si="58"/>
        <v/>
      </c>
    </row>
    <row r="54" spans="1:37" x14ac:dyDescent="0.25">
      <c r="A54" s="2" t="s">
        <v>60</v>
      </c>
      <c r="B54" s="6">
        <f>(((B50)+(B51))+(B52))+(B53)</f>
        <v>1672.21</v>
      </c>
      <c r="C54" s="6">
        <f>(((C50)+(C51))+(C52))+(C53)</f>
        <v>1192</v>
      </c>
      <c r="D54" s="6">
        <f t="shared" si="39"/>
        <v>480.21000000000004</v>
      </c>
      <c r="E54" s="7">
        <f t="shared" si="40"/>
        <v>1.4028607382550335</v>
      </c>
      <c r="F54" s="6">
        <f>(((F50)+(F51))+(F52))+(F53)</f>
        <v>1046.54</v>
      </c>
      <c r="G54" s="6">
        <f>(((G50)+(G51))+(G52))+(G53)</f>
        <v>1192</v>
      </c>
      <c r="H54" s="6">
        <f t="shared" si="41"/>
        <v>-145.46000000000004</v>
      </c>
      <c r="I54" s="7">
        <f t="shared" si="42"/>
        <v>0.87796979865771807</v>
      </c>
      <c r="J54" s="6">
        <f>(((J50)+(J51))+(J52))+(J53)</f>
        <v>1025.45</v>
      </c>
      <c r="K54" s="6">
        <f>(((K50)+(K51))+(K52))+(K53)</f>
        <v>1192</v>
      </c>
      <c r="L54" s="6">
        <f t="shared" si="43"/>
        <v>-166.54999999999995</v>
      </c>
      <c r="M54" s="7">
        <f t="shared" si="44"/>
        <v>0.86027684563758389</v>
      </c>
      <c r="N54" s="6">
        <f>(((N50)+(N51))+(N52))+(N53)</f>
        <v>1011.39</v>
      </c>
      <c r="O54" s="6">
        <f>(((O50)+(O51))+(O52))+(O53)</f>
        <v>1192</v>
      </c>
      <c r="P54" s="6">
        <f t="shared" si="45"/>
        <v>-180.61</v>
      </c>
      <c r="Q54" s="7">
        <f t="shared" si="46"/>
        <v>0.84848154362416106</v>
      </c>
      <c r="R54" s="6">
        <f>(((R50)+(R51))+(R52))+(R53)</f>
        <v>1159.02</v>
      </c>
      <c r="S54" s="6">
        <f>(((S50)+(S51))+(S52))+(S53)</f>
        <v>1192</v>
      </c>
      <c r="T54" s="6">
        <f t="shared" si="47"/>
        <v>-32.980000000000018</v>
      </c>
      <c r="U54" s="7">
        <f t="shared" si="48"/>
        <v>0.97233221476510068</v>
      </c>
      <c r="V54" s="6">
        <f>(((V50)+(V51))+(V52))+(V53)</f>
        <v>1755.64</v>
      </c>
      <c r="W54" s="6">
        <f>(((W50)+(W51))+(W52))+(W53)</f>
        <v>1192</v>
      </c>
      <c r="X54" s="6">
        <f t="shared" si="49"/>
        <v>563.6400000000001</v>
      </c>
      <c r="Y54" s="7">
        <f t="shared" si="50"/>
        <v>1.4728523489932888</v>
      </c>
      <c r="Z54" s="6">
        <f>(((Z50)+(Z51))+(Z52))+(Z53)</f>
        <v>1067.6300000000001</v>
      </c>
      <c r="AA54" s="6">
        <f>(((AA50)+(AA51))+(AA52))+(AA53)</f>
        <v>1192</v>
      </c>
      <c r="AB54" s="6">
        <f t="shared" si="51"/>
        <v>-124.36999999999989</v>
      </c>
      <c r="AC54" s="7">
        <f t="shared" si="52"/>
        <v>0.89566275167785248</v>
      </c>
      <c r="AD54" s="6">
        <f>(((AD50)+(AD51))+(AD52))+(AD53)</f>
        <v>1088.72</v>
      </c>
      <c r="AE54" s="6">
        <f>(((AE50)+(AE51))+(AE52))+(AE53)</f>
        <v>1192</v>
      </c>
      <c r="AF54" s="6">
        <f t="shared" si="53"/>
        <v>-103.27999999999997</v>
      </c>
      <c r="AG54" s="7">
        <f t="shared" si="54"/>
        <v>0.91335570469798655</v>
      </c>
      <c r="AH54" s="6">
        <f t="shared" si="55"/>
        <v>9826.6</v>
      </c>
      <c r="AI54" s="6">
        <f t="shared" si="56"/>
        <v>9536</v>
      </c>
      <c r="AJ54" s="6">
        <f t="shared" si="57"/>
        <v>290.60000000000036</v>
      </c>
      <c r="AK54" s="7">
        <f t="shared" si="58"/>
        <v>1.0304739932885907</v>
      </c>
    </row>
    <row r="55" spans="1:37" x14ac:dyDescent="0.25">
      <c r="A55" s="2" t="s">
        <v>61</v>
      </c>
      <c r="B55" s="3"/>
      <c r="C55" s="3"/>
      <c r="D55" s="4">
        <f t="shared" si="39"/>
        <v>0</v>
      </c>
      <c r="E55" s="5" t="str">
        <f t="shared" si="40"/>
        <v/>
      </c>
      <c r="F55" s="3"/>
      <c r="G55" s="3"/>
      <c r="H55" s="4">
        <f t="shared" si="41"/>
        <v>0</v>
      </c>
      <c r="I55" s="5" t="str">
        <f t="shared" si="42"/>
        <v/>
      </c>
      <c r="J55" s="3"/>
      <c r="K55" s="3"/>
      <c r="L55" s="4">
        <f t="shared" si="43"/>
        <v>0</v>
      </c>
      <c r="M55" s="5" t="str">
        <f t="shared" si="44"/>
        <v/>
      </c>
      <c r="N55" s="3"/>
      <c r="O55" s="3"/>
      <c r="P55" s="4">
        <f t="shared" si="45"/>
        <v>0</v>
      </c>
      <c r="Q55" s="5" t="str">
        <f t="shared" si="46"/>
        <v/>
      </c>
      <c r="R55" s="3"/>
      <c r="S55" s="3"/>
      <c r="T55" s="4">
        <f t="shared" si="47"/>
        <v>0</v>
      </c>
      <c r="U55" s="5" t="str">
        <f t="shared" si="48"/>
        <v/>
      </c>
      <c r="V55" s="3"/>
      <c r="W55" s="3"/>
      <c r="X55" s="4">
        <f t="shared" si="49"/>
        <v>0</v>
      </c>
      <c r="Y55" s="5" t="str">
        <f t="shared" si="50"/>
        <v/>
      </c>
      <c r="Z55" s="3"/>
      <c r="AA55" s="3"/>
      <c r="AB55" s="4">
        <f t="shared" si="51"/>
        <v>0</v>
      </c>
      <c r="AC55" s="5" t="str">
        <f t="shared" si="52"/>
        <v/>
      </c>
      <c r="AD55" s="3"/>
      <c r="AE55" s="3"/>
      <c r="AF55" s="4">
        <f t="shared" si="53"/>
        <v>0</v>
      </c>
      <c r="AG55" s="5" t="str">
        <f t="shared" si="54"/>
        <v/>
      </c>
      <c r="AH55" s="4">
        <f t="shared" si="55"/>
        <v>0</v>
      </c>
      <c r="AI55" s="4">
        <f t="shared" si="56"/>
        <v>0</v>
      </c>
      <c r="AJ55" s="4">
        <f t="shared" si="57"/>
        <v>0</v>
      </c>
      <c r="AK55" s="5" t="str">
        <f t="shared" si="58"/>
        <v/>
      </c>
    </row>
    <row r="56" spans="1:37" x14ac:dyDescent="0.25">
      <c r="A56" s="2" t="s">
        <v>62</v>
      </c>
      <c r="B56" s="4">
        <f>234.73</f>
        <v>234.73</v>
      </c>
      <c r="C56" s="4">
        <f>268.94</f>
        <v>268.94</v>
      </c>
      <c r="D56" s="4">
        <f t="shared" si="39"/>
        <v>-34.210000000000008</v>
      </c>
      <c r="E56" s="5">
        <f t="shared" si="40"/>
        <v>0.87279690637316876</v>
      </c>
      <c r="F56" s="4">
        <f>244.17</f>
        <v>244.17</v>
      </c>
      <c r="G56" s="4">
        <f>268.94</f>
        <v>268.94</v>
      </c>
      <c r="H56" s="4">
        <f t="shared" si="41"/>
        <v>-24.77000000000001</v>
      </c>
      <c r="I56" s="5">
        <f t="shared" si="42"/>
        <v>0.90789767234327357</v>
      </c>
      <c r="J56" s="4">
        <f>366.25</f>
        <v>366.25</v>
      </c>
      <c r="K56" s="4">
        <f>268.94</f>
        <v>268.94</v>
      </c>
      <c r="L56" s="4">
        <f t="shared" si="43"/>
        <v>97.31</v>
      </c>
      <c r="M56" s="5">
        <f t="shared" si="44"/>
        <v>1.3618279170075109</v>
      </c>
      <c r="N56" s="4">
        <f>244.17</f>
        <v>244.17</v>
      </c>
      <c r="O56" s="4">
        <f>268.94</f>
        <v>268.94</v>
      </c>
      <c r="P56" s="4">
        <f t="shared" si="45"/>
        <v>-24.77000000000001</v>
      </c>
      <c r="Q56" s="5">
        <f t="shared" si="46"/>
        <v>0.90789767234327357</v>
      </c>
      <c r="R56" s="4">
        <f>244.17</f>
        <v>244.17</v>
      </c>
      <c r="S56" s="4">
        <f>268.94</f>
        <v>268.94</v>
      </c>
      <c r="T56" s="4">
        <f t="shared" si="47"/>
        <v>-24.77000000000001</v>
      </c>
      <c r="U56" s="5">
        <f t="shared" si="48"/>
        <v>0.90789767234327357</v>
      </c>
      <c r="V56" s="4">
        <f>244.17</f>
        <v>244.17</v>
      </c>
      <c r="W56" s="4">
        <f>268.94</f>
        <v>268.94</v>
      </c>
      <c r="X56" s="4">
        <f t="shared" si="49"/>
        <v>-24.77000000000001</v>
      </c>
      <c r="Y56" s="5">
        <f t="shared" si="50"/>
        <v>0.90789767234327357</v>
      </c>
      <c r="Z56" s="4">
        <f>244.17</f>
        <v>244.17</v>
      </c>
      <c r="AA56" s="4">
        <f>268.94</f>
        <v>268.94</v>
      </c>
      <c r="AB56" s="4">
        <f t="shared" si="51"/>
        <v>-24.77000000000001</v>
      </c>
      <c r="AC56" s="5">
        <f t="shared" si="52"/>
        <v>0.90789767234327357</v>
      </c>
      <c r="AD56" s="4">
        <f>244.17</f>
        <v>244.17</v>
      </c>
      <c r="AE56" s="4">
        <f>268.94</f>
        <v>268.94</v>
      </c>
      <c r="AF56" s="4">
        <f t="shared" si="53"/>
        <v>-24.77000000000001</v>
      </c>
      <c r="AG56" s="5">
        <f t="shared" si="54"/>
        <v>0.90789767234327357</v>
      </c>
      <c r="AH56" s="4">
        <f t="shared" si="55"/>
        <v>2066</v>
      </c>
      <c r="AI56" s="4">
        <f t="shared" si="56"/>
        <v>2151.52</v>
      </c>
      <c r="AJ56" s="4">
        <f t="shared" si="57"/>
        <v>-85.519999999999982</v>
      </c>
      <c r="AK56" s="5">
        <f t="shared" si="58"/>
        <v>0.96025135718004018</v>
      </c>
    </row>
    <row r="57" spans="1:37" x14ac:dyDescent="0.25">
      <c r="A57" s="2" t="s">
        <v>63</v>
      </c>
      <c r="B57" s="4">
        <f>126.4</f>
        <v>126.4</v>
      </c>
      <c r="C57" s="4">
        <f>144.81</f>
        <v>144.81</v>
      </c>
      <c r="D57" s="4">
        <f t="shared" si="39"/>
        <v>-18.409999999999997</v>
      </c>
      <c r="E57" s="5">
        <f t="shared" si="40"/>
        <v>0.87286789586354541</v>
      </c>
      <c r="F57" s="4">
        <f>131.47</f>
        <v>131.47</v>
      </c>
      <c r="G57" s="4">
        <f>144.81</f>
        <v>144.81</v>
      </c>
      <c r="H57" s="4">
        <f t="shared" si="41"/>
        <v>-13.340000000000003</v>
      </c>
      <c r="I57" s="5">
        <f t="shared" si="42"/>
        <v>0.90787929010427459</v>
      </c>
      <c r="J57" s="4">
        <f>197.21</f>
        <v>197.21</v>
      </c>
      <c r="K57" s="4">
        <f>144.81</f>
        <v>144.81</v>
      </c>
      <c r="L57" s="4">
        <f t="shared" si="43"/>
        <v>52.400000000000006</v>
      </c>
      <c r="M57" s="5">
        <f t="shared" si="44"/>
        <v>1.3618534631586217</v>
      </c>
      <c r="N57" s="4">
        <f>131.47</f>
        <v>131.47</v>
      </c>
      <c r="O57" s="4">
        <f>144.81</f>
        <v>144.81</v>
      </c>
      <c r="P57" s="4">
        <f t="shared" si="45"/>
        <v>-13.340000000000003</v>
      </c>
      <c r="Q57" s="5">
        <f t="shared" si="46"/>
        <v>0.90787929010427459</v>
      </c>
      <c r="R57" s="4">
        <f>131.47</f>
        <v>131.47</v>
      </c>
      <c r="S57" s="4">
        <f>144.81</f>
        <v>144.81</v>
      </c>
      <c r="T57" s="4">
        <f t="shared" si="47"/>
        <v>-13.340000000000003</v>
      </c>
      <c r="U57" s="5">
        <f t="shared" si="48"/>
        <v>0.90787929010427459</v>
      </c>
      <c r="V57" s="4">
        <f>131.47</f>
        <v>131.47</v>
      </c>
      <c r="W57" s="4">
        <f>144.81</f>
        <v>144.81</v>
      </c>
      <c r="X57" s="4">
        <f t="shared" si="49"/>
        <v>-13.340000000000003</v>
      </c>
      <c r="Y57" s="5">
        <f t="shared" si="50"/>
        <v>0.90787929010427459</v>
      </c>
      <c r="Z57" s="4">
        <f>131.47</f>
        <v>131.47</v>
      </c>
      <c r="AA57" s="4">
        <f>144.81</f>
        <v>144.81</v>
      </c>
      <c r="AB57" s="4">
        <f t="shared" si="51"/>
        <v>-13.340000000000003</v>
      </c>
      <c r="AC57" s="5">
        <f t="shared" si="52"/>
        <v>0.90787929010427459</v>
      </c>
      <c r="AD57" s="4">
        <f>131.47</f>
        <v>131.47</v>
      </c>
      <c r="AE57" s="4">
        <f>144.81</f>
        <v>144.81</v>
      </c>
      <c r="AF57" s="4">
        <f t="shared" si="53"/>
        <v>-13.340000000000003</v>
      </c>
      <c r="AG57" s="5">
        <f t="shared" si="54"/>
        <v>0.90787929010427459</v>
      </c>
      <c r="AH57" s="4">
        <f t="shared" si="55"/>
        <v>1112.43</v>
      </c>
      <c r="AI57" s="4">
        <f t="shared" si="56"/>
        <v>1158.4799999999998</v>
      </c>
      <c r="AJ57" s="4">
        <f t="shared" si="57"/>
        <v>-46.049999999999727</v>
      </c>
      <c r="AK57" s="5">
        <f t="shared" si="58"/>
        <v>0.96024963745597702</v>
      </c>
    </row>
    <row r="58" spans="1:37" x14ac:dyDescent="0.25">
      <c r="A58" s="2" t="s">
        <v>64</v>
      </c>
      <c r="B58" s="4">
        <f>0</f>
        <v>0</v>
      </c>
      <c r="C58" s="3"/>
      <c r="D58" s="4">
        <f t="shared" si="39"/>
        <v>0</v>
      </c>
      <c r="E58" s="5" t="str">
        <f t="shared" si="40"/>
        <v/>
      </c>
      <c r="F58" s="4">
        <f>0</f>
        <v>0</v>
      </c>
      <c r="G58" s="3"/>
      <c r="H58" s="4">
        <f t="shared" si="41"/>
        <v>0</v>
      </c>
      <c r="I58" s="5" t="str">
        <f t="shared" si="42"/>
        <v/>
      </c>
      <c r="J58" s="4">
        <f>0</f>
        <v>0</v>
      </c>
      <c r="K58" s="3"/>
      <c r="L58" s="4">
        <f t="shared" si="43"/>
        <v>0</v>
      </c>
      <c r="M58" s="5" t="str">
        <f t="shared" si="44"/>
        <v/>
      </c>
      <c r="N58" s="4">
        <f>0</f>
        <v>0</v>
      </c>
      <c r="O58" s="3"/>
      <c r="P58" s="4">
        <f t="shared" si="45"/>
        <v>0</v>
      </c>
      <c r="Q58" s="5" t="str">
        <f t="shared" si="46"/>
        <v/>
      </c>
      <c r="R58" s="4">
        <f>0</f>
        <v>0</v>
      </c>
      <c r="S58" s="3"/>
      <c r="T58" s="4">
        <f t="shared" si="47"/>
        <v>0</v>
      </c>
      <c r="U58" s="5" t="str">
        <f t="shared" si="48"/>
        <v/>
      </c>
      <c r="V58" s="4">
        <f>0</f>
        <v>0</v>
      </c>
      <c r="W58" s="3"/>
      <c r="X58" s="4">
        <f t="shared" si="49"/>
        <v>0</v>
      </c>
      <c r="Y58" s="5" t="str">
        <f t="shared" si="50"/>
        <v/>
      </c>
      <c r="Z58" s="4">
        <f>0</f>
        <v>0</v>
      </c>
      <c r="AA58" s="3"/>
      <c r="AB58" s="4">
        <f t="shared" si="51"/>
        <v>0</v>
      </c>
      <c r="AC58" s="5" t="str">
        <f t="shared" si="52"/>
        <v/>
      </c>
      <c r="AD58" s="4">
        <f>0</f>
        <v>0</v>
      </c>
      <c r="AE58" s="3"/>
      <c r="AF58" s="4">
        <f t="shared" si="53"/>
        <v>0</v>
      </c>
      <c r="AG58" s="5" t="str">
        <f t="shared" si="54"/>
        <v/>
      </c>
      <c r="AH58" s="4">
        <f t="shared" si="55"/>
        <v>0</v>
      </c>
      <c r="AI58" s="4">
        <f t="shared" si="56"/>
        <v>0</v>
      </c>
      <c r="AJ58" s="4">
        <f t="shared" si="57"/>
        <v>0</v>
      </c>
      <c r="AK58" s="5" t="str">
        <f t="shared" si="58"/>
        <v/>
      </c>
    </row>
    <row r="59" spans="1:37" x14ac:dyDescent="0.25">
      <c r="A59" s="2" t="s">
        <v>65</v>
      </c>
      <c r="B59" s="6">
        <f>(((B55)+(B56))+(B57))+(B58)</f>
        <v>361.13</v>
      </c>
      <c r="C59" s="6">
        <f>(((C55)+(C56))+(C57))+(C58)</f>
        <v>413.75</v>
      </c>
      <c r="D59" s="6">
        <f t="shared" si="39"/>
        <v>-52.620000000000005</v>
      </c>
      <c r="E59" s="7">
        <f t="shared" si="40"/>
        <v>0.87282175226586101</v>
      </c>
      <c r="F59" s="6">
        <f>(((F55)+(F56))+(F57))+(F58)</f>
        <v>375.64</v>
      </c>
      <c r="G59" s="6">
        <f>(((G55)+(G56))+(G57))+(G58)</f>
        <v>413.75</v>
      </c>
      <c r="H59" s="6">
        <f t="shared" si="41"/>
        <v>-38.110000000000014</v>
      </c>
      <c r="I59" s="7">
        <f t="shared" si="42"/>
        <v>0.90789123867069488</v>
      </c>
      <c r="J59" s="6">
        <f>(((J55)+(J56))+(J57))+(J58)</f>
        <v>563.46</v>
      </c>
      <c r="K59" s="6">
        <f>(((K55)+(K56))+(K57))+(K58)</f>
        <v>413.75</v>
      </c>
      <c r="L59" s="6">
        <f t="shared" si="43"/>
        <v>149.71000000000004</v>
      </c>
      <c r="M59" s="7">
        <f t="shared" si="44"/>
        <v>1.3618368580060425</v>
      </c>
      <c r="N59" s="6">
        <f>(((N55)+(N56))+(N57))+(N58)</f>
        <v>375.64</v>
      </c>
      <c r="O59" s="6">
        <f>(((O55)+(O56))+(O57))+(O58)</f>
        <v>413.75</v>
      </c>
      <c r="P59" s="6">
        <f t="shared" si="45"/>
        <v>-38.110000000000014</v>
      </c>
      <c r="Q59" s="7">
        <f t="shared" si="46"/>
        <v>0.90789123867069488</v>
      </c>
      <c r="R59" s="6">
        <f>(((R55)+(R56))+(R57))+(R58)</f>
        <v>375.64</v>
      </c>
      <c r="S59" s="6">
        <f>(((S55)+(S56))+(S57))+(S58)</f>
        <v>413.75</v>
      </c>
      <c r="T59" s="6">
        <f t="shared" si="47"/>
        <v>-38.110000000000014</v>
      </c>
      <c r="U59" s="7">
        <f t="shared" si="48"/>
        <v>0.90789123867069488</v>
      </c>
      <c r="V59" s="6">
        <f>(((V55)+(V56))+(V57))+(V58)</f>
        <v>375.64</v>
      </c>
      <c r="W59" s="6">
        <f>(((W55)+(W56))+(W57))+(W58)</f>
        <v>413.75</v>
      </c>
      <c r="X59" s="6">
        <f t="shared" si="49"/>
        <v>-38.110000000000014</v>
      </c>
      <c r="Y59" s="7">
        <f t="shared" si="50"/>
        <v>0.90789123867069488</v>
      </c>
      <c r="Z59" s="6">
        <f>(((Z55)+(Z56))+(Z57))+(Z58)</f>
        <v>375.64</v>
      </c>
      <c r="AA59" s="6">
        <f>(((AA55)+(AA56))+(AA57))+(AA58)</f>
        <v>413.75</v>
      </c>
      <c r="AB59" s="6">
        <f t="shared" si="51"/>
        <v>-38.110000000000014</v>
      </c>
      <c r="AC59" s="7">
        <f t="shared" si="52"/>
        <v>0.90789123867069488</v>
      </c>
      <c r="AD59" s="6">
        <f>(((AD55)+(AD56))+(AD57))+(AD58)</f>
        <v>375.64</v>
      </c>
      <c r="AE59" s="6">
        <f>(((AE55)+(AE56))+(AE57))+(AE58)</f>
        <v>413.75</v>
      </c>
      <c r="AF59" s="6">
        <f t="shared" si="53"/>
        <v>-38.110000000000014</v>
      </c>
      <c r="AG59" s="7">
        <f t="shared" si="54"/>
        <v>0.90789123867069488</v>
      </c>
      <c r="AH59" s="6">
        <f t="shared" si="55"/>
        <v>3178.4299999999994</v>
      </c>
      <c r="AI59" s="6">
        <f t="shared" si="56"/>
        <v>3310</v>
      </c>
      <c r="AJ59" s="6">
        <f t="shared" si="57"/>
        <v>-131.57000000000062</v>
      </c>
      <c r="AK59" s="7">
        <f t="shared" si="58"/>
        <v>0.96025075528700887</v>
      </c>
    </row>
    <row r="60" spans="1:37" x14ac:dyDescent="0.25">
      <c r="A60" s="2" t="s">
        <v>66</v>
      </c>
      <c r="B60" s="3"/>
      <c r="C60" s="3"/>
      <c r="D60" s="4">
        <f t="shared" si="39"/>
        <v>0</v>
      </c>
      <c r="E60" s="5" t="str">
        <f t="shared" si="40"/>
        <v/>
      </c>
      <c r="F60" s="3"/>
      <c r="G60" s="3"/>
      <c r="H60" s="4">
        <f t="shared" si="41"/>
        <v>0</v>
      </c>
      <c r="I60" s="5" t="str">
        <f t="shared" si="42"/>
        <v/>
      </c>
      <c r="J60" s="3"/>
      <c r="K60" s="3"/>
      <c r="L60" s="4">
        <f t="shared" si="43"/>
        <v>0</v>
      </c>
      <c r="M60" s="5" t="str">
        <f t="shared" si="44"/>
        <v/>
      </c>
      <c r="N60" s="3"/>
      <c r="O60" s="3"/>
      <c r="P60" s="4">
        <f t="shared" si="45"/>
        <v>0</v>
      </c>
      <c r="Q60" s="5" t="str">
        <f t="shared" si="46"/>
        <v/>
      </c>
      <c r="R60" s="3"/>
      <c r="S60" s="3"/>
      <c r="T60" s="4">
        <f t="shared" si="47"/>
        <v>0</v>
      </c>
      <c r="U60" s="5" t="str">
        <f t="shared" si="48"/>
        <v/>
      </c>
      <c r="V60" s="3"/>
      <c r="W60" s="3"/>
      <c r="X60" s="4">
        <f t="shared" si="49"/>
        <v>0</v>
      </c>
      <c r="Y60" s="5" t="str">
        <f t="shared" si="50"/>
        <v/>
      </c>
      <c r="Z60" s="3"/>
      <c r="AA60" s="3"/>
      <c r="AB60" s="4">
        <f t="shared" si="51"/>
        <v>0</v>
      </c>
      <c r="AC60" s="5" t="str">
        <f t="shared" si="52"/>
        <v/>
      </c>
      <c r="AD60" s="3"/>
      <c r="AE60" s="3"/>
      <c r="AF60" s="4">
        <f t="shared" si="53"/>
        <v>0</v>
      </c>
      <c r="AG60" s="5" t="str">
        <f t="shared" si="54"/>
        <v/>
      </c>
      <c r="AH60" s="4">
        <f t="shared" si="55"/>
        <v>0</v>
      </c>
      <c r="AI60" s="4">
        <f t="shared" si="56"/>
        <v>0</v>
      </c>
      <c r="AJ60" s="4">
        <f t="shared" si="57"/>
        <v>0</v>
      </c>
      <c r="AK60" s="5" t="str">
        <f t="shared" si="58"/>
        <v/>
      </c>
    </row>
    <row r="61" spans="1:37" x14ac:dyDescent="0.25">
      <c r="A61" s="2" t="s">
        <v>67</v>
      </c>
      <c r="B61" s="4">
        <f>106.6</f>
        <v>106.6</v>
      </c>
      <c r="C61" s="4">
        <f>90.35</f>
        <v>90.35</v>
      </c>
      <c r="D61" s="4">
        <f t="shared" si="39"/>
        <v>16.25</v>
      </c>
      <c r="E61" s="5">
        <f t="shared" si="40"/>
        <v>1.1798561151079137</v>
      </c>
      <c r="F61" s="4">
        <f>106.6</f>
        <v>106.6</v>
      </c>
      <c r="G61" s="4">
        <f>90.35</f>
        <v>90.35</v>
      </c>
      <c r="H61" s="4">
        <f t="shared" si="41"/>
        <v>16.25</v>
      </c>
      <c r="I61" s="5">
        <f t="shared" si="42"/>
        <v>1.1798561151079137</v>
      </c>
      <c r="J61" s="4">
        <f>106.6</f>
        <v>106.6</v>
      </c>
      <c r="K61" s="4">
        <f>90.35</f>
        <v>90.35</v>
      </c>
      <c r="L61" s="4">
        <f t="shared" si="43"/>
        <v>16.25</v>
      </c>
      <c r="M61" s="5">
        <f t="shared" si="44"/>
        <v>1.1798561151079137</v>
      </c>
      <c r="N61" s="4">
        <f>106.6</f>
        <v>106.6</v>
      </c>
      <c r="O61" s="4">
        <f>90.35</f>
        <v>90.35</v>
      </c>
      <c r="P61" s="4">
        <f t="shared" si="45"/>
        <v>16.25</v>
      </c>
      <c r="Q61" s="5">
        <f t="shared" si="46"/>
        <v>1.1798561151079137</v>
      </c>
      <c r="R61" s="4">
        <f>127.4</f>
        <v>127.4</v>
      </c>
      <c r="S61" s="4">
        <f>90.35</f>
        <v>90.35</v>
      </c>
      <c r="T61" s="4">
        <f t="shared" si="47"/>
        <v>37.050000000000011</v>
      </c>
      <c r="U61" s="5">
        <f t="shared" si="48"/>
        <v>1.4100719424460433</v>
      </c>
      <c r="V61" s="4">
        <f>127.4</f>
        <v>127.4</v>
      </c>
      <c r="W61" s="4">
        <f>90.35</f>
        <v>90.35</v>
      </c>
      <c r="X61" s="4">
        <f t="shared" si="49"/>
        <v>37.050000000000011</v>
      </c>
      <c r="Y61" s="5">
        <f t="shared" si="50"/>
        <v>1.4100719424460433</v>
      </c>
      <c r="Z61" s="4">
        <f>127.4</f>
        <v>127.4</v>
      </c>
      <c r="AA61" s="4">
        <f>90.35</f>
        <v>90.35</v>
      </c>
      <c r="AB61" s="4">
        <f t="shared" si="51"/>
        <v>37.050000000000011</v>
      </c>
      <c r="AC61" s="5">
        <f t="shared" si="52"/>
        <v>1.4100719424460433</v>
      </c>
      <c r="AD61" s="4">
        <f>127.4</f>
        <v>127.4</v>
      </c>
      <c r="AE61" s="4">
        <f>90.35</f>
        <v>90.35</v>
      </c>
      <c r="AF61" s="4">
        <f t="shared" si="53"/>
        <v>37.050000000000011</v>
      </c>
      <c r="AG61" s="5">
        <f t="shared" si="54"/>
        <v>1.4100719424460433</v>
      </c>
      <c r="AH61" s="4">
        <f t="shared" si="55"/>
        <v>935.99999999999989</v>
      </c>
      <c r="AI61" s="4">
        <f t="shared" si="56"/>
        <v>722.80000000000007</v>
      </c>
      <c r="AJ61" s="4">
        <f t="shared" si="57"/>
        <v>213.19999999999982</v>
      </c>
      <c r="AK61" s="5">
        <f t="shared" si="58"/>
        <v>1.2949640287769781</v>
      </c>
    </row>
    <row r="62" spans="1:37" x14ac:dyDescent="0.25">
      <c r="A62" s="2" t="s">
        <v>68</v>
      </c>
      <c r="B62" s="4">
        <f>57.4</f>
        <v>57.4</v>
      </c>
      <c r="C62" s="4">
        <f>48.65</f>
        <v>48.65</v>
      </c>
      <c r="D62" s="4">
        <f t="shared" si="39"/>
        <v>8.75</v>
      </c>
      <c r="E62" s="5">
        <f t="shared" si="40"/>
        <v>1.1798561151079137</v>
      </c>
      <c r="F62" s="4">
        <f>57.4</f>
        <v>57.4</v>
      </c>
      <c r="G62" s="4">
        <f>48.65</f>
        <v>48.65</v>
      </c>
      <c r="H62" s="4">
        <f t="shared" si="41"/>
        <v>8.75</v>
      </c>
      <c r="I62" s="5">
        <f t="shared" si="42"/>
        <v>1.1798561151079137</v>
      </c>
      <c r="J62" s="4">
        <f>57.4</f>
        <v>57.4</v>
      </c>
      <c r="K62" s="4">
        <f>48.65</f>
        <v>48.65</v>
      </c>
      <c r="L62" s="4">
        <f t="shared" si="43"/>
        <v>8.75</v>
      </c>
      <c r="M62" s="5">
        <f t="shared" si="44"/>
        <v>1.1798561151079137</v>
      </c>
      <c r="N62" s="4">
        <f>57.4</f>
        <v>57.4</v>
      </c>
      <c r="O62" s="4">
        <f>48.65</f>
        <v>48.65</v>
      </c>
      <c r="P62" s="4">
        <f t="shared" si="45"/>
        <v>8.75</v>
      </c>
      <c r="Q62" s="5">
        <f t="shared" si="46"/>
        <v>1.1798561151079137</v>
      </c>
      <c r="R62" s="4">
        <f>68.6</f>
        <v>68.599999999999994</v>
      </c>
      <c r="S62" s="4">
        <f>48.65</f>
        <v>48.65</v>
      </c>
      <c r="T62" s="4">
        <f t="shared" si="47"/>
        <v>19.949999999999996</v>
      </c>
      <c r="U62" s="5">
        <f t="shared" si="48"/>
        <v>1.4100719424460431</v>
      </c>
      <c r="V62" s="4">
        <f>68.6</f>
        <v>68.599999999999994</v>
      </c>
      <c r="W62" s="4">
        <f>48.65</f>
        <v>48.65</v>
      </c>
      <c r="X62" s="4">
        <f t="shared" si="49"/>
        <v>19.949999999999996</v>
      </c>
      <c r="Y62" s="5">
        <f t="shared" si="50"/>
        <v>1.4100719424460431</v>
      </c>
      <c r="Z62" s="4">
        <f>68.6</f>
        <v>68.599999999999994</v>
      </c>
      <c r="AA62" s="4">
        <f>48.65</f>
        <v>48.65</v>
      </c>
      <c r="AB62" s="4">
        <f t="shared" si="51"/>
        <v>19.949999999999996</v>
      </c>
      <c r="AC62" s="5">
        <f t="shared" si="52"/>
        <v>1.4100719424460431</v>
      </c>
      <c r="AD62" s="4">
        <f>68.6</f>
        <v>68.599999999999994</v>
      </c>
      <c r="AE62" s="4">
        <f>48.65</f>
        <v>48.65</v>
      </c>
      <c r="AF62" s="4">
        <f t="shared" si="53"/>
        <v>19.949999999999996</v>
      </c>
      <c r="AG62" s="5">
        <f t="shared" si="54"/>
        <v>1.4100719424460431</v>
      </c>
      <c r="AH62" s="4">
        <f t="shared" si="55"/>
        <v>504</v>
      </c>
      <c r="AI62" s="4">
        <f t="shared" si="56"/>
        <v>389.19999999999993</v>
      </c>
      <c r="AJ62" s="4">
        <f t="shared" si="57"/>
        <v>114.80000000000007</v>
      </c>
      <c r="AK62" s="5">
        <f t="shared" si="58"/>
        <v>1.2949640287769786</v>
      </c>
    </row>
    <row r="63" spans="1:37" x14ac:dyDescent="0.25">
      <c r="A63" s="2" t="s">
        <v>69</v>
      </c>
      <c r="B63" s="4">
        <f>0</f>
        <v>0</v>
      </c>
      <c r="C63" s="3"/>
      <c r="D63" s="4">
        <f t="shared" si="39"/>
        <v>0</v>
      </c>
      <c r="E63" s="5" t="str">
        <f t="shared" si="40"/>
        <v/>
      </c>
      <c r="F63" s="4">
        <f>0</f>
        <v>0</v>
      </c>
      <c r="G63" s="3"/>
      <c r="H63" s="4">
        <f t="shared" si="41"/>
        <v>0</v>
      </c>
      <c r="I63" s="5" t="str">
        <f t="shared" si="42"/>
        <v/>
      </c>
      <c r="J63" s="4">
        <f>0</f>
        <v>0</v>
      </c>
      <c r="K63" s="3"/>
      <c r="L63" s="4">
        <f t="shared" si="43"/>
        <v>0</v>
      </c>
      <c r="M63" s="5" t="str">
        <f t="shared" si="44"/>
        <v/>
      </c>
      <c r="N63" s="4">
        <f>0</f>
        <v>0</v>
      </c>
      <c r="O63" s="3"/>
      <c r="P63" s="4">
        <f t="shared" si="45"/>
        <v>0</v>
      </c>
      <c r="Q63" s="5" t="str">
        <f t="shared" si="46"/>
        <v/>
      </c>
      <c r="R63" s="4">
        <f>0</f>
        <v>0</v>
      </c>
      <c r="S63" s="3"/>
      <c r="T63" s="4">
        <f t="shared" si="47"/>
        <v>0</v>
      </c>
      <c r="U63" s="5" t="str">
        <f t="shared" si="48"/>
        <v/>
      </c>
      <c r="V63" s="4">
        <f>0</f>
        <v>0</v>
      </c>
      <c r="W63" s="3"/>
      <c r="X63" s="4">
        <f t="shared" si="49"/>
        <v>0</v>
      </c>
      <c r="Y63" s="5" t="str">
        <f t="shared" si="50"/>
        <v/>
      </c>
      <c r="Z63" s="4">
        <f>0</f>
        <v>0</v>
      </c>
      <c r="AA63" s="3"/>
      <c r="AB63" s="4">
        <f t="shared" si="51"/>
        <v>0</v>
      </c>
      <c r="AC63" s="5" t="str">
        <f t="shared" si="52"/>
        <v/>
      </c>
      <c r="AD63" s="4">
        <f>0</f>
        <v>0</v>
      </c>
      <c r="AE63" s="3"/>
      <c r="AF63" s="4">
        <f t="shared" si="53"/>
        <v>0</v>
      </c>
      <c r="AG63" s="5" t="str">
        <f t="shared" si="54"/>
        <v/>
      </c>
      <c r="AH63" s="4">
        <f t="shared" si="55"/>
        <v>0</v>
      </c>
      <c r="AI63" s="4">
        <f t="shared" si="56"/>
        <v>0</v>
      </c>
      <c r="AJ63" s="4">
        <f t="shared" si="57"/>
        <v>0</v>
      </c>
      <c r="AK63" s="5" t="str">
        <f t="shared" si="58"/>
        <v/>
      </c>
    </row>
    <row r="64" spans="1:37" x14ac:dyDescent="0.25">
      <c r="A64" s="2" t="s">
        <v>70</v>
      </c>
      <c r="B64" s="6">
        <f>(((B60)+(B61))+(B62))+(B63)</f>
        <v>164</v>
      </c>
      <c r="C64" s="6">
        <f>(((C60)+(C61))+(C62))+(C63)</f>
        <v>139</v>
      </c>
      <c r="D64" s="6">
        <f t="shared" si="39"/>
        <v>25</v>
      </c>
      <c r="E64" s="7">
        <f t="shared" si="40"/>
        <v>1.1798561151079137</v>
      </c>
      <c r="F64" s="6">
        <f>(((F60)+(F61))+(F62))+(F63)</f>
        <v>164</v>
      </c>
      <c r="G64" s="6">
        <f>(((G60)+(G61))+(G62))+(G63)</f>
        <v>139</v>
      </c>
      <c r="H64" s="6">
        <f t="shared" si="41"/>
        <v>25</v>
      </c>
      <c r="I64" s="7">
        <f t="shared" si="42"/>
        <v>1.1798561151079137</v>
      </c>
      <c r="J64" s="6">
        <f>(((J60)+(J61))+(J62))+(J63)</f>
        <v>164</v>
      </c>
      <c r="K64" s="6">
        <f>(((K60)+(K61))+(K62))+(K63)</f>
        <v>139</v>
      </c>
      <c r="L64" s="6">
        <f t="shared" si="43"/>
        <v>25</v>
      </c>
      <c r="M64" s="7">
        <f t="shared" si="44"/>
        <v>1.1798561151079137</v>
      </c>
      <c r="N64" s="6">
        <f>(((N60)+(N61))+(N62))+(N63)</f>
        <v>164</v>
      </c>
      <c r="O64" s="6">
        <f>(((O60)+(O61))+(O62))+(O63)</f>
        <v>139</v>
      </c>
      <c r="P64" s="6">
        <f t="shared" si="45"/>
        <v>25</v>
      </c>
      <c r="Q64" s="7">
        <f t="shared" si="46"/>
        <v>1.1798561151079137</v>
      </c>
      <c r="R64" s="6">
        <f>(((R60)+(R61))+(R62))+(R63)</f>
        <v>196</v>
      </c>
      <c r="S64" s="6">
        <f>(((S60)+(S61))+(S62))+(S63)</f>
        <v>139</v>
      </c>
      <c r="T64" s="6">
        <f t="shared" si="47"/>
        <v>57</v>
      </c>
      <c r="U64" s="7">
        <f t="shared" si="48"/>
        <v>1.4100719424460431</v>
      </c>
      <c r="V64" s="6">
        <f>(((V60)+(V61))+(V62))+(V63)</f>
        <v>196</v>
      </c>
      <c r="W64" s="6">
        <f>(((W60)+(W61))+(W62))+(W63)</f>
        <v>139</v>
      </c>
      <c r="X64" s="6">
        <f t="shared" si="49"/>
        <v>57</v>
      </c>
      <c r="Y64" s="7">
        <f t="shared" si="50"/>
        <v>1.4100719424460431</v>
      </c>
      <c r="Z64" s="6">
        <f>(((Z60)+(Z61))+(Z62))+(Z63)</f>
        <v>196</v>
      </c>
      <c r="AA64" s="6">
        <f>(((AA60)+(AA61))+(AA62))+(AA63)</f>
        <v>139</v>
      </c>
      <c r="AB64" s="6">
        <f t="shared" si="51"/>
        <v>57</v>
      </c>
      <c r="AC64" s="7">
        <f t="shared" si="52"/>
        <v>1.4100719424460431</v>
      </c>
      <c r="AD64" s="6">
        <f>(((AD60)+(AD61))+(AD62))+(AD63)</f>
        <v>196</v>
      </c>
      <c r="AE64" s="6">
        <f>(((AE60)+(AE61))+(AE62))+(AE63)</f>
        <v>139</v>
      </c>
      <c r="AF64" s="6">
        <f t="shared" si="53"/>
        <v>57</v>
      </c>
      <c r="AG64" s="7">
        <f t="shared" si="54"/>
        <v>1.4100719424460431</v>
      </c>
      <c r="AH64" s="6">
        <f t="shared" si="55"/>
        <v>1440</v>
      </c>
      <c r="AI64" s="6">
        <f t="shared" si="56"/>
        <v>1112</v>
      </c>
      <c r="AJ64" s="6">
        <f t="shared" si="57"/>
        <v>328</v>
      </c>
      <c r="AK64" s="7">
        <f t="shared" si="58"/>
        <v>1.2949640287769784</v>
      </c>
    </row>
    <row r="65" spans="1:37" x14ac:dyDescent="0.25">
      <c r="A65" s="2" t="s">
        <v>71</v>
      </c>
      <c r="B65" s="3"/>
      <c r="C65" s="3"/>
      <c r="D65" s="4">
        <f t="shared" si="39"/>
        <v>0</v>
      </c>
      <c r="E65" s="5" t="str">
        <f t="shared" si="40"/>
        <v/>
      </c>
      <c r="F65" s="3"/>
      <c r="G65" s="3"/>
      <c r="H65" s="4">
        <f t="shared" si="41"/>
        <v>0</v>
      </c>
      <c r="I65" s="5" t="str">
        <f t="shared" si="42"/>
        <v/>
      </c>
      <c r="J65" s="3"/>
      <c r="K65" s="3"/>
      <c r="L65" s="4">
        <f t="shared" si="43"/>
        <v>0</v>
      </c>
      <c r="M65" s="5" t="str">
        <f t="shared" si="44"/>
        <v/>
      </c>
      <c r="N65" s="3"/>
      <c r="O65" s="3"/>
      <c r="P65" s="4">
        <f t="shared" si="45"/>
        <v>0</v>
      </c>
      <c r="Q65" s="5" t="str">
        <f t="shared" si="46"/>
        <v/>
      </c>
      <c r="R65" s="3"/>
      <c r="S65" s="3"/>
      <c r="T65" s="4">
        <f t="shared" si="47"/>
        <v>0</v>
      </c>
      <c r="U65" s="5" t="str">
        <f t="shared" si="48"/>
        <v/>
      </c>
      <c r="V65" s="3"/>
      <c r="W65" s="3"/>
      <c r="X65" s="4">
        <f t="shared" si="49"/>
        <v>0</v>
      </c>
      <c r="Y65" s="5" t="str">
        <f t="shared" si="50"/>
        <v/>
      </c>
      <c r="Z65" s="3"/>
      <c r="AA65" s="3"/>
      <c r="AB65" s="4">
        <f t="shared" si="51"/>
        <v>0</v>
      </c>
      <c r="AC65" s="5" t="str">
        <f t="shared" si="52"/>
        <v/>
      </c>
      <c r="AD65" s="3"/>
      <c r="AE65" s="3"/>
      <c r="AF65" s="4">
        <f t="shared" si="53"/>
        <v>0</v>
      </c>
      <c r="AG65" s="5" t="str">
        <f t="shared" si="54"/>
        <v/>
      </c>
      <c r="AH65" s="4">
        <f t="shared" si="55"/>
        <v>0</v>
      </c>
      <c r="AI65" s="4">
        <f t="shared" si="56"/>
        <v>0</v>
      </c>
      <c r="AJ65" s="4">
        <f t="shared" si="57"/>
        <v>0</v>
      </c>
      <c r="AK65" s="5" t="str">
        <f t="shared" si="58"/>
        <v/>
      </c>
    </row>
    <row r="66" spans="1:37" x14ac:dyDescent="0.25">
      <c r="A66" s="2" t="s">
        <v>72</v>
      </c>
      <c r="B66" s="4">
        <f>359.76</f>
        <v>359.76</v>
      </c>
      <c r="C66" s="4">
        <f>352.08</f>
        <v>352.08</v>
      </c>
      <c r="D66" s="4">
        <f t="shared" si="39"/>
        <v>7.6800000000000068</v>
      </c>
      <c r="E66" s="5">
        <f t="shared" si="40"/>
        <v>1.021813224267212</v>
      </c>
      <c r="F66" s="4">
        <f>206.02</f>
        <v>206.02</v>
      </c>
      <c r="G66" s="4">
        <f>352.08</f>
        <v>352.08</v>
      </c>
      <c r="H66" s="4">
        <f t="shared" si="41"/>
        <v>-146.05999999999997</v>
      </c>
      <c r="I66" s="5">
        <f t="shared" si="42"/>
        <v>0.58515110202226772</v>
      </c>
      <c r="J66" s="4">
        <f>250.57</f>
        <v>250.57</v>
      </c>
      <c r="K66" s="4">
        <f>352.08</f>
        <v>352.08</v>
      </c>
      <c r="L66" s="4">
        <f t="shared" si="43"/>
        <v>-101.50999999999999</v>
      </c>
      <c r="M66" s="5">
        <f t="shared" si="44"/>
        <v>0.71168484435355606</v>
      </c>
      <c r="N66" s="4">
        <f>319.57</f>
        <v>319.57</v>
      </c>
      <c r="O66" s="4">
        <f>352.08</f>
        <v>352.08</v>
      </c>
      <c r="P66" s="4">
        <f t="shared" si="45"/>
        <v>-32.509999999999991</v>
      </c>
      <c r="Q66" s="5">
        <f t="shared" si="46"/>
        <v>0.90766303112928881</v>
      </c>
      <c r="R66" s="4">
        <f>191.23</f>
        <v>191.23</v>
      </c>
      <c r="S66" s="4">
        <f>352.08</f>
        <v>352.08</v>
      </c>
      <c r="T66" s="4">
        <f t="shared" si="47"/>
        <v>-160.85</v>
      </c>
      <c r="U66" s="5">
        <f t="shared" si="48"/>
        <v>0.54314360372642578</v>
      </c>
      <c r="V66" s="4">
        <f>605.86</f>
        <v>605.86</v>
      </c>
      <c r="W66" s="4">
        <f>352.08</f>
        <v>352.08</v>
      </c>
      <c r="X66" s="4">
        <f t="shared" si="49"/>
        <v>253.78000000000003</v>
      </c>
      <c r="Y66" s="5">
        <f t="shared" si="50"/>
        <v>1.7208020904339925</v>
      </c>
      <c r="Z66" s="4">
        <f>333.69</f>
        <v>333.69</v>
      </c>
      <c r="AA66" s="4">
        <f>352.08</f>
        <v>352.08</v>
      </c>
      <c r="AB66" s="4">
        <f t="shared" si="51"/>
        <v>-18.389999999999986</v>
      </c>
      <c r="AC66" s="5">
        <f t="shared" si="52"/>
        <v>0.94776755282890257</v>
      </c>
      <c r="AD66" s="4">
        <f>840.21</f>
        <v>840.21</v>
      </c>
      <c r="AE66" s="4">
        <f>352.08</f>
        <v>352.08</v>
      </c>
      <c r="AF66" s="4">
        <f t="shared" si="53"/>
        <v>488.13000000000005</v>
      </c>
      <c r="AG66" s="5">
        <f t="shared" si="54"/>
        <v>2.3864178595773691</v>
      </c>
      <c r="AH66" s="4">
        <f t="shared" si="55"/>
        <v>3106.91</v>
      </c>
      <c r="AI66" s="4">
        <f t="shared" si="56"/>
        <v>2816.64</v>
      </c>
      <c r="AJ66" s="4">
        <f t="shared" si="57"/>
        <v>290.27</v>
      </c>
      <c r="AK66" s="5">
        <f t="shared" si="58"/>
        <v>1.1030554135423767</v>
      </c>
    </row>
    <row r="67" spans="1:37" x14ac:dyDescent="0.25">
      <c r="A67" s="2" t="s">
        <v>73</v>
      </c>
      <c r="B67" s="4">
        <f>193.72</f>
        <v>193.72</v>
      </c>
      <c r="C67" s="4">
        <f>189.58</f>
        <v>189.58</v>
      </c>
      <c r="D67" s="4">
        <f t="shared" si="39"/>
        <v>4.1399999999999864</v>
      </c>
      <c r="E67" s="5">
        <f t="shared" si="40"/>
        <v>1.0218377465977424</v>
      </c>
      <c r="F67" s="4">
        <f>110.94</f>
        <v>110.94</v>
      </c>
      <c r="G67" s="4">
        <f>189.58</f>
        <v>189.58</v>
      </c>
      <c r="H67" s="4">
        <f t="shared" si="41"/>
        <v>-78.640000000000015</v>
      </c>
      <c r="I67" s="5">
        <f t="shared" si="42"/>
        <v>0.58518831100327029</v>
      </c>
      <c r="J67" s="4">
        <f>134.92</f>
        <v>134.91999999999999</v>
      </c>
      <c r="K67" s="4">
        <f>189.58</f>
        <v>189.58</v>
      </c>
      <c r="L67" s="4">
        <f t="shared" si="43"/>
        <v>-54.660000000000025</v>
      </c>
      <c r="M67" s="5">
        <f t="shared" si="44"/>
        <v>0.71167844709357519</v>
      </c>
      <c r="N67" s="4">
        <f>172.07</f>
        <v>172.07</v>
      </c>
      <c r="O67" s="4">
        <f>189.58</f>
        <v>189.58</v>
      </c>
      <c r="P67" s="4">
        <f t="shared" si="45"/>
        <v>-17.510000000000019</v>
      </c>
      <c r="Q67" s="5">
        <f t="shared" si="46"/>
        <v>0.90763793649119096</v>
      </c>
      <c r="R67" s="4">
        <f>102.97</f>
        <v>102.97</v>
      </c>
      <c r="S67" s="4">
        <f>189.58</f>
        <v>189.58</v>
      </c>
      <c r="T67" s="4">
        <f t="shared" si="47"/>
        <v>-86.610000000000014</v>
      </c>
      <c r="U67" s="5">
        <f t="shared" si="48"/>
        <v>0.54314801139360691</v>
      </c>
      <c r="V67" s="4">
        <f>326.23</f>
        <v>326.23</v>
      </c>
      <c r="W67" s="4">
        <f>189.58</f>
        <v>189.58</v>
      </c>
      <c r="X67" s="4">
        <f t="shared" si="49"/>
        <v>136.65</v>
      </c>
      <c r="Y67" s="5">
        <f t="shared" si="50"/>
        <v>1.7208038822660618</v>
      </c>
      <c r="Z67" s="4">
        <f>179.68</f>
        <v>179.68</v>
      </c>
      <c r="AA67" s="4">
        <f>189.58</f>
        <v>189.58</v>
      </c>
      <c r="AB67" s="4">
        <f t="shared" si="51"/>
        <v>-9.9000000000000057</v>
      </c>
      <c r="AC67" s="5">
        <f t="shared" si="52"/>
        <v>0.94777930161409429</v>
      </c>
      <c r="AD67" s="4">
        <f>452.42</f>
        <v>452.42</v>
      </c>
      <c r="AE67" s="4">
        <f>189.58</f>
        <v>189.58</v>
      </c>
      <c r="AF67" s="4">
        <f t="shared" si="53"/>
        <v>262.84000000000003</v>
      </c>
      <c r="AG67" s="5">
        <f t="shared" si="54"/>
        <v>2.386433168055702</v>
      </c>
      <c r="AH67" s="4">
        <f t="shared" si="55"/>
        <v>1672.95</v>
      </c>
      <c r="AI67" s="4">
        <f t="shared" si="56"/>
        <v>1516.6399999999999</v>
      </c>
      <c r="AJ67" s="4">
        <f t="shared" si="57"/>
        <v>156.31000000000017</v>
      </c>
      <c r="AK67" s="5">
        <f t="shared" si="58"/>
        <v>1.1030633505644056</v>
      </c>
    </row>
    <row r="68" spans="1:37" x14ac:dyDescent="0.25">
      <c r="A68" s="2" t="s">
        <v>74</v>
      </c>
      <c r="B68" s="4">
        <f>0</f>
        <v>0</v>
      </c>
      <c r="C68" s="3"/>
      <c r="D68" s="4">
        <f t="shared" si="39"/>
        <v>0</v>
      </c>
      <c r="E68" s="5" t="str">
        <f t="shared" si="40"/>
        <v/>
      </c>
      <c r="F68" s="4">
        <f>292.06</f>
        <v>292.06</v>
      </c>
      <c r="G68" s="3"/>
      <c r="H68" s="4">
        <f t="shared" si="41"/>
        <v>292.06</v>
      </c>
      <c r="I68" s="5" t="str">
        <f t="shared" si="42"/>
        <v/>
      </c>
      <c r="J68" s="4">
        <f>0</f>
        <v>0</v>
      </c>
      <c r="K68" s="3"/>
      <c r="L68" s="4">
        <f t="shared" si="43"/>
        <v>0</v>
      </c>
      <c r="M68" s="5" t="str">
        <f t="shared" si="44"/>
        <v/>
      </c>
      <c r="N68" s="4">
        <f>-146</f>
        <v>-146</v>
      </c>
      <c r="O68" s="3"/>
      <c r="P68" s="4">
        <f t="shared" si="45"/>
        <v>-146</v>
      </c>
      <c r="Q68" s="5" t="str">
        <f t="shared" si="46"/>
        <v/>
      </c>
      <c r="R68" s="4">
        <f>146</f>
        <v>146</v>
      </c>
      <c r="S68" s="3"/>
      <c r="T68" s="4">
        <f t="shared" si="47"/>
        <v>146</v>
      </c>
      <c r="U68" s="5" t="str">
        <f t="shared" si="48"/>
        <v/>
      </c>
      <c r="V68" s="4">
        <f>-146.06</f>
        <v>-146.06</v>
      </c>
      <c r="W68" s="3"/>
      <c r="X68" s="4">
        <f t="shared" si="49"/>
        <v>-146.06</v>
      </c>
      <c r="Y68" s="5" t="str">
        <f t="shared" si="50"/>
        <v/>
      </c>
      <c r="Z68" s="4">
        <f>0</f>
        <v>0</v>
      </c>
      <c r="AA68" s="3"/>
      <c r="AB68" s="4">
        <f t="shared" si="51"/>
        <v>0</v>
      </c>
      <c r="AC68" s="5" t="str">
        <f t="shared" si="52"/>
        <v/>
      </c>
      <c r="AD68" s="4">
        <f>-146</f>
        <v>-146</v>
      </c>
      <c r="AE68" s="3"/>
      <c r="AF68" s="4">
        <f t="shared" si="53"/>
        <v>-146</v>
      </c>
      <c r="AG68" s="5" t="str">
        <f t="shared" si="54"/>
        <v/>
      </c>
      <c r="AH68" s="4">
        <f t="shared" si="55"/>
        <v>0</v>
      </c>
      <c r="AI68" s="4">
        <f t="shared" si="56"/>
        <v>0</v>
      </c>
      <c r="AJ68" s="4">
        <f t="shared" si="57"/>
        <v>0</v>
      </c>
      <c r="AK68" s="5" t="str">
        <f t="shared" si="58"/>
        <v/>
      </c>
    </row>
    <row r="69" spans="1:37" x14ac:dyDescent="0.25">
      <c r="A69" s="2" t="s">
        <v>75</v>
      </c>
      <c r="B69" s="6">
        <f>(((B65)+(B66))+(B67))+(B68)</f>
        <v>553.48</v>
      </c>
      <c r="C69" s="6">
        <f>(((C65)+(C66))+(C67))+(C68)</f>
        <v>541.66</v>
      </c>
      <c r="D69" s="6">
        <f t="shared" si="39"/>
        <v>11.82000000000005</v>
      </c>
      <c r="E69" s="7">
        <f t="shared" si="40"/>
        <v>1.0218218070376253</v>
      </c>
      <c r="F69" s="6">
        <f>(((F65)+(F66))+(F67))+(F68)</f>
        <v>609.02</v>
      </c>
      <c r="G69" s="6">
        <f>(((G65)+(G66))+(G67))+(G68)</f>
        <v>541.66</v>
      </c>
      <c r="H69" s="6">
        <f t="shared" si="41"/>
        <v>67.360000000000014</v>
      </c>
      <c r="I69" s="7">
        <f t="shared" si="42"/>
        <v>1.1243584536425064</v>
      </c>
      <c r="J69" s="6">
        <f>(((J65)+(J66))+(J67))+(J68)</f>
        <v>385.49</v>
      </c>
      <c r="K69" s="6">
        <f>(((K65)+(K66))+(K67))+(K68)</f>
        <v>541.66</v>
      </c>
      <c r="L69" s="6">
        <f t="shared" si="43"/>
        <v>-156.16999999999996</v>
      </c>
      <c r="M69" s="7">
        <f t="shared" si="44"/>
        <v>0.71168260532437333</v>
      </c>
      <c r="N69" s="6">
        <f>(((N65)+(N66))+(N67))+(N68)</f>
        <v>345.64</v>
      </c>
      <c r="O69" s="6">
        <f>(((O65)+(O66))+(O67))+(O68)</f>
        <v>541.66</v>
      </c>
      <c r="P69" s="6">
        <f t="shared" si="45"/>
        <v>-196.01999999999998</v>
      </c>
      <c r="Q69" s="7">
        <f t="shared" si="46"/>
        <v>0.63811246907654251</v>
      </c>
      <c r="R69" s="6">
        <f>(((R65)+(R66))+(R67))+(R68)</f>
        <v>440.2</v>
      </c>
      <c r="S69" s="6">
        <f>(((S65)+(S66))+(S67))+(S68)</f>
        <v>541.66</v>
      </c>
      <c r="T69" s="6">
        <f t="shared" si="47"/>
        <v>-101.45999999999998</v>
      </c>
      <c r="U69" s="7">
        <f t="shared" si="48"/>
        <v>0.81268692537754317</v>
      </c>
      <c r="V69" s="6">
        <f>(((V65)+(V66))+(V67))+(V68)</f>
        <v>786.03</v>
      </c>
      <c r="W69" s="6">
        <f>(((W65)+(W66))+(W67))+(W68)</f>
        <v>541.66</v>
      </c>
      <c r="X69" s="6">
        <f t="shared" si="49"/>
        <v>244.37</v>
      </c>
      <c r="Y69" s="7">
        <f t="shared" si="50"/>
        <v>1.4511501680020678</v>
      </c>
      <c r="Z69" s="6">
        <f>(((Z65)+(Z66))+(Z67))+(Z68)</f>
        <v>513.37</v>
      </c>
      <c r="AA69" s="6">
        <f>(((AA65)+(AA66))+(AA67))+(AA68)</f>
        <v>541.66</v>
      </c>
      <c r="AB69" s="6">
        <f t="shared" si="51"/>
        <v>-28.289999999999964</v>
      </c>
      <c r="AC69" s="7">
        <f t="shared" si="52"/>
        <v>0.94777166488202935</v>
      </c>
      <c r="AD69" s="6">
        <f>(((AD65)+(AD66))+(AD67))+(AD68)</f>
        <v>1146.6300000000001</v>
      </c>
      <c r="AE69" s="6">
        <f>(((AE65)+(AE66))+(AE67))+(AE68)</f>
        <v>541.66</v>
      </c>
      <c r="AF69" s="6">
        <f t="shared" si="53"/>
        <v>604.97000000000014</v>
      </c>
      <c r="AG69" s="7">
        <f t="shared" si="54"/>
        <v>2.1168814385407821</v>
      </c>
      <c r="AH69" s="6">
        <f t="shared" si="55"/>
        <v>4779.8599999999997</v>
      </c>
      <c r="AI69" s="6">
        <f t="shared" si="56"/>
        <v>4333.28</v>
      </c>
      <c r="AJ69" s="6">
        <f t="shared" si="57"/>
        <v>446.57999999999993</v>
      </c>
      <c r="AK69" s="7">
        <f t="shared" si="58"/>
        <v>1.1030581914854336</v>
      </c>
    </row>
    <row r="70" spans="1:37" x14ac:dyDescent="0.25">
      <c r="A70" s="2" t="s">
        <v>76</v>
      </c>
      <c r="B70" s="3"/>
      <c r="C70" s="3"/>
      <c r="D70" s="4">
        <f t="shared" si="39"/>
        <v>0</v>
      </c>
      <c r="E70" s="5" t="str">
        <f t="shared" si="40"/>
        <v/>
      </c>
      <c r="F70" s="3"/>
      <c r="G70" s="3"/>
      <c r="H70" s="4">
        <f t="shared" si="41"/>
        <v>0</v>
      </c>
      <c r="I70" s="5" t="str">
        <f t="shared" si="42"/>
        <v/>
      </c>
      <c r="J70" s="3"/>
      <c r="K70" s="3"/>
      <c r="L70" s="4">
        <f t="shared" si="43"/>
        <v>0</v>
      </c>
      <c r="M70" s="5" t="str">
        <f t="shared" si="44"/>
        <v/>
      </c>
      <c r="N70" s="3"/>
      <c r="O70" s="3"/>
      <c r="P70" s="4">
        <f t="shared" si="45"/>
        <v>0</v>
      </c>
      <c r="Q70" s="5" t="str">
        <f t="shared" si="46"/>
        <v/>
      </c>
      <c r="R70" s="3"/>
      <c r="S70" s="3"/>
      <c r="T70" s="4">
        <f t="shared" si="47"/>
        <v>0</v>
      </c>
      <c r="U70" s="5" t="str">
        <f t="shared" si="48"/>
        <v/>
      </c>
      <c r="V70" s="3"/>
      <c r="W70" s="3"/>
      <c r="X70" s="4">
        <f t="shared" si="49"/>
        <v>0</v>
      </c>
      <c r="Y70" s="5" t="str">
        <f t="shared" si="50"/>
        <v/>
      </c>
      <c r="Z70" s="3"/>
      <c r="AA70" s="3"/>
      <c r="AB70" s="4">
        <f t="shared" si="51"/>
        <v>0</v>
      </c>
      <c r="AC70" s="5" t="str">
        <f t="shared" si="52"/>
        <v/>
      </c>
      <c r="AD70" s="3"/>
      <c r="AE70" s="3"/>
      <c r="AF70" s="4">
        <f t="shared" si="53"/>
        <v>0</v>
      </c>
      <c r="AG70" s="5" t="str">
        <f t="shared" si="54"/>
        <v/>
      </c>
      <c r="AH70" s="4">
        <f t="shared" si="55"/>
        <v>0</v>
      </c>
      <c r="AI70" s="4">
        <f t="shared" si="56"/>
        <v>0</v>
      </c>
      <c r="AJ70" s="4">
        <f t="shared" si="57"/>
        <v>0</v>
      </c>
      <c r="AK70" s="5" t="str">
        <f t="shared" si="58"/>
        <v/>
      </c>
    </row>
    <row r="71" spans="1:37" x14ac:dyDescent="0.25">
      <c r="A71" s="2" t="s">
        <v>77</v>
      </c>
      <c r="B71" s="4">
        <f>26</f>
        <v>26</v>
      </c>
      <c r="C71" s="4">
        <f>270.83</f>
        <v>270.83</v>
      </c>
      <c r="D71" s="4">
        <f t="shared" si="39"/>
        <v>-244.82999999999998</v>
      </c>
      <c r="E71" s="5">
        <f t="shared" si="40"/>
        <v>9.6001181553003731E-2</v>
      </c>
      <c r="F71" s="4">
        <f>0</f>
        <v>0</v>
      </c>
      <c r="G71" s="4">
        <f>270.83</f>
        <v>270.83</v>
      </c>
      <c r="H71" s="4">
        <f t="shared" si="41"/>
        <v>-270.83</v>
      </c>
      <c r="I71" s="5">
        <f t="shared" si="42"/>
        <v>0</v>
      </c>
      <c r="J71" s="4">
        <f>0</f>
        <v>0</v>
      </c>
      <c r="K71" s="4">
        <f>270.83</f>
        <v>270.83</v>
      </c>
      <c r="L71" s="4">
        <f t="shared" si="43"/>
        <v>-270.83</v>
      </c>
      <c r="M71" s="5">
        <f t="shared" si="44"/>
        <v>0</v>
      </c>
      <c r="N71" s="4">
        <f>0</f>
        <v>0</v>
      </c>
      <c r="O71" s="4">
        <f>270.83</f>
        <v>270.83</v>
      </c>
      <c r="P71" s="4">
        <f t="shared" si="45"/>
        <v>-270.83</v>
      </c>
      <c r="Q71" s="5">
        <f t="shared" si="46"/>
        <v>0</v>
      </c>
      <c r="R71" s="4">
        <f>0</f>
        <v>0</v>
      </c>
      <c r="S71" s="4">
        <f>270.83</f>
        <v>270.83</v>
      </c>
      <c r="T71" s="4">
        <f t="shared" si="47"/>
        <v>-270.83</v>
      </c>
      <c r="U71" s="5">
        <f t="shared" si="48"/>
        <v>0</v>
      </c>
      <c r="V71" s="4">
        <f>3250</f>
        <v>3250</v>
      </c>
      <c r="W71" s="4">
        <f>270.83</f>
        <v>270.83</v>
      </c>
      <c r="X71" s="4">
        <f t="shared" si="49"/>
        <v>2979.17</v>
      </c>
      <c r="Y71" s="5">
        <f t="shared" si="50"/>
        <v>12.000147694125467</v>
      </c>
      <c r="Z71" s="4">
        <f>0</f>
        <v>0</v>
      </c>
      <c r="AA71" s="4">
        <f>270.83</f>
        <v>270.83</v>
      </c>
      <c r="AB71" s="4">
        <f t="shared" si="51"/>
        <v>-270.83</v>
      </c>
      <c r="AC71" s="5">
        <f t="shared" si="52"/>
        <v>0</v>
      </c>
      <c r="AD71" s="4">
        <f>0</f>
        <v>0</v>
      </c>
      <c r="AE71" s="4">
        <f>270.83</f>
        <v>270.83</v>
      </c>
      <c r="AF71" s="4">
        <f t="shared" si="53"/>
        <v>-270.83</v>
      </c>
      <c r="AG71" s="5">
        <f t="shared" si="54"/>
        <v>0</v>
      </c>
      <c r="AH71" s="4">
        <f t="shared" si="55"/>
        <v>3276</v>
      </c>
      <c r="AI71" s="4">
        <f t="shared" si="56"/>
        <v>2166.64</v>
      </c>
      <c r="AJ71" s="4">
        <f t="shared" si="57"/>
        <v>1109.3600000000001</v>
      </c>
      <c r="AK71" s="5">
        <f t="shared" si="58"/>
        <v>1.5120186094598089</v>
      </c>
    </row>
    <row r="72" spans="1:37" x14ac:dyDescent="0.25">
      <c r="A72" s="2" t="s">
        <v>78</v>
      </c>
      <c r="B72" s="4">
        <f>14</f>
        <v>14</v>
      </c>
      <c r="C72" s="4">
        <f>145.83</f>
        <v>145.83000000000001</v>
      </c>
      <c r="D72" s="4">
        <f t="shared" si="39"/>
        <v>-131.83000000000001</v>
      </c>
      <c r="E72" s="5">
        <f t="shared" si="40"/>
        <v>9.6002194335870525E-2</v>
      </c>
      <c r="F72" s="4">
        <f>0</f>
        <v>0</v>
      </c>
      <c r="G72" s="4">
        <f>145.83</f>
        <v>145.83000000000001</v>
      </c>
      <c r="H72" s="4">
        <f t="shared" si="41"/>
        <v>-145.83000000000001</v>
      </c>
      <c r="I72" s="5">
        <f t="shared" si="42"/>
        <v>0</v>
      </c>
      <c r="J72" s="4">
        <f>0</f>
        <v>0</v>
      </c>
      <c r="K72" s="4">
        <f>145.83</f>
        <v>145.83000000000001</v>
      </c>
      <c r="L72" s="4">
        <f t="shared" si="43"/>
        <v>-145.83000000000001</v>
      </c>
      <c r="M72" s="5">
        <f t="shared" si="44"/>
        <v>0</v>
      </c>
      <c r="N72" s="4">
        <f>0</f>
        <v>0</v>
      </c>
      <c r="O72" s="4">
        <f>145.83</f>
        <v>145.83000000000001</v>
      </c>
      <c r="P72" s="4">
        <f t="shared" si="45"/>
        <v>-145.83000000000001</v>
      </c>
      <c r="Q72" s="5">
        <f t="shared" si="46"/>
        <v>0</v>
      </c>
      <c r="R72" s="4">
        <f>0</f>
        <v>0</v>
      </c>
      <c r="S72" s="4">
        <f>145.83</f>
        <v>145.83000000000001</v>
      </c>
      <c r="T72" s="4">
        <f t="shared" si="47"/>
        <v>-145.83000000000001</v>
      </c>
      <c r="U72" s="5">
        <f t="shared" si="48"/>
        <v>0</v>
      </c>
      <c r="V72" s="4">
        <f>1750</f>
        <v>1750</v>
      </c>
      <c r="W72" s="4">
        <f>145.83</f>
        <v>145.83000000000001</v>
      </c>
      <c r="X72" s="4">
        <f t="shared" si="49"/>
        <v>1604.17</v>
      </c>
      <c r="Y72" s="5">
        <f t="shared" si="50"/>
        <v>12.000274291983816</v>
      </c>
      <c r="Z72" s="4">
        <f>0</f>
        <v>0</v>
      </c>
      <c r="AA72" s="4">
        <f>145.83</f>
        <v>145.83000000000001</v>
      </c>
      <c r="AB72" s="4">
        <f t="shared" si="51"/>
        <v>-145.83000000000001</v>
      </c>
      <c r="AC72" s="5">
        <f t="shared" si="52"/>
        <v>0</v>
      </c>
      <c r="AD72" s="4">
        <f>0</f>
        <v>0</v>
      </c>
      <c r="AE72" s="4">
        <f>145.83</f>
        <v>145.83000000000001</v>
      </c>
      <c r="AF72" s="4">
        <f t="shared" si="53"/>
        <v>-145.83000000000001</v>
      </c>
      <c r="AG72" s="5">
        <f t="shared" si="54"/>
        <v>0</v>
      </c>
      <c r="AH72" s="4">
        <f t="shared" si="55"/>
        <v>1764</v>
      </c>
      <c r="AI72" s="4">
        <f t="shared" si="56"/>
        <v>1166.6400000000001</v>
      </c>
      <c r="AJ72" s="4">
        <f t="shared" si="57"/>
        <v>597.3599999999999</v>
      </c>
      <c r="AK72" s="5">
        <f t="shared" si="58"/>
        <v>1.5120345607899608</v>
      </c>
    </row>
    <row r="73" spans="1:37" x14ac:dyDescent="0.25">
      <c r="A73" s="2" t="s">
        <v>79</v>
      </c>
      <c r="B73" s="4">
        <f>0</f>
        <v>0</v>
      </c>
      <c r="C73" s="3"/>
      <c r="D73" s="4">
        <f t="shared" si="39"/>
        <v>0</v>
      </c>
      <c r="E73" s="5" t="str">
        <f t="shared" si="40"/>
        <v/>
      </c>
      <c r="F73" s="4">
        <f>0</f>
        <v>0</v>
      </c>
      <c r="G73" s="3"/>
      <c r="H73" s="4">
        <f t="shared" si="41"/>
        <v>0</v>
      </c>
      <c r="I73" s="5" t="str">
        <f t="shared" si="42"/>
        <v/>
      </c>
      <c r="J73" s="4">
        <f>0</f>
        <v>0</v>
      </c>
      <c r="K73" s="3"/>
      <c r="L73" s="4">
        <f t="shared" si="43"/>
        <v>0</v>
      </c>
      <c r="M73" s="5" t="str">
        <f t="shared" si="44"/>
        <v/>
      </c>
      <c r="N73" s="4">
        <f>0</f>
        <v>0</v>
      </c>
      <c r="O73" s="3"/>
      <c r="P73" s="4">
        <f t="shared" si="45"/>
        <v>0</v>
      </c>
      <c r="Q73" s="5" t="str">
        <f t="shared" si="46"/>
        <v/>
      </c>
      <c r="R73" s="4">
        <f>0</f>
        <v>0</v>
      </c>
      <c r="S73" s="3"/>
      <c r="T73" s="4">
        <f t="shared" si="47"/>
        <v>0</v>
      </c>
      <c r="U73" s="5" t="str">
        <f t="shared" si="48"/>
        <v/>
      </c>
      <c r="V73" s="4">
        <f>0</f>
        <v>0</v>
      </c>
      <c r="W73" s="3"/>
      <c r="X73" s="4">
        <f t="shared" si="49"/>
        <v>0</v>
      </c>
      <c r="Y73" s="5" t="str">
        <f t="shared" si="50"/>
        <v/>
      </c>
      <c r="Z73" s="4">
        <f>0</f>
        <v>0</v>
      </c>
      <c r="AA73" s="3"/>
      <c r="AB73" s="4">
        <f t="shared" si="51"/>
        <v>0</v>
      </c>
      <c r="AC73" s="5" t="str">
        <f t="shared" si="52"/>
        <v/>
      </c>
      <c r="AD73" s="4">
        <f>0</f>
        <v>0</v>
      </c>
      <c r="AE73" s="3"/>
      <c r="AF73" s="4">
        <f t="shared" si="53"/>
        <v>0</v>
      </c>
      <c r="AG73" s="5" t="str">
        <f t="shared" si="54"/>
        <v/>
      </c>
      <c r="AH73" s="4">
        <f t="shared" si="55"/>
        <v>0</v>
      </c>
      <c r="AI73" s="4">
        <f t="shared" si="56"/>
        <v>0</v>
      </c>
      <c r="AJ73" s="4">
        <f t="shared" si="57"/>
        <v>0</v>
      </c>
      <c r="AK73" s="5" t="str">
        <f t="shared" si="58"/>
        <v/>
      </c>
    </row>
    <row r="74" spans="1:37" x14ac:dyDescent="0.25">
      <c r="A74" s="2" t="s">
        <v>80</v>
      </c>
      <c r="B74" s="6">
        <f>(((B70)+(B71))+(B72))+(B73)</f>
        <v>40</v>
      </c>
      <c r="C74" s="6">
        <f>(((C70)+(C71))+(C72))+(C73)</f>
        <v>416.65999999999997</v>
      </c>
      <c r="D74" s="6">
        <f t="shared" si="39"/>
        <v>-376.65999999999997</v>
      </c>
      <c r="E74" s="7">
        <f t="shared" si="40"/>
        <v>9.6001536024576395E-2</v>
      </c>
      <c r="F74" s="6">
        <f>(((F70)+(F71))+(F72))+(F73)</f>
        <v>0</v>
      </c>
      <c r="G74" s="6">
        <f>(((G70)+(G71))+(G72))+(G73)</f>
        <v>416.65999999999997</v>
      </c>
      <c r="H74" s="6">
        <f t="shared" si="41"/>
        <v>-416.65999999999997</v>
      </c>
      <c r="I74" s="7">
        <f t="shared" si="42"/>
        <v>0</v>
      </c>
      <c r="J74" s="6">
        <f>(((J70)+(J71))+(J72))+(J73)</f>
        <v>0</v>
      </c>
      <c r="K74" s="6">
        <f>(((K70)+(K71))+(K72))+(K73)</f>
        <v>416.65999999999997</v>
      </c>
      <c r="L74" s="6">
        <f t="shared" si="43"/>
        <v>-416.65999999999997</v>
      </c>
      <c r="M74" s="7">
        <f t="shared" si="44"/>
        <v>0</v>
      </c>
      <c r="N74" s="6">
        <f>(((N70)+(N71))+(N72))+(N73)</f>
        <v>0</v>
      </c>
      <c r="O74" s="6">
        <f>(((O70)+(O71))+(O72))+(O73)</f>
        <v>416.65999999999997</v>
      </c>
      <c r="P74" s="6">
        <f t="shared" si="45"/>
        <v>-416.65999999999997</v>
      </c>
      <c r="Q74" s="7">
        <f t="shared" si="46"/>
        <v>0</v>
      </c>
      <c r="R74" s="6">
        <f>(((R70)+(R71))+(R72))+(R73)</f>
        <v>0</v>
      </c>
      <c r="S74" s="6">
        <f>(((S70)+(S71))+(S72))+(S73)</f>
        <v>416.65999999999997</v>
      </c>
      <c r="T74" s="6">
        <f t="shared" si="47"/>
        <v>-416.65999999999997</v>
      </c>
      <c r="U74" s="7">
        <f t="shared" si="48"/>
        <v>0</v>
      </c>
      <c r="V74" s="6">
        <f>(((V70)+(V71))+(V72))+(V73)</f>
        <v>5000</v>
      </c>
      <c r="W74" s="6">
        <f>(((W70)+(W71))+(W72))+(W73)</f>
        <v>416.65999999999997</v>
      </c>
      <c r="X74" s="6">
        <f t="shared" si="49"/>
        <v>4583.34</v>
      </c>
      <c r="Y74" s="7">
        <f t="shared" si="50"/>
        <v>12.000192003072049</v>
      </c>
      <c r="Z74" s="6">
        <f>(((Z70)+(Z71))+(Z72))+(Z73)</f>
        <v>0</v>
      </c>
      <c r="AA74" s="6">
        <f>(((AA70)+(AA71))+(AA72))+(AA73)</f>
        <v>416.65999999999997</v>
      </c>
      <c r="AB74" s="6">
        <f t="shared" si="51"/>
        <v>-416.65999999999997</v>
      </c>
      <c r="AC74" s="7">
        <f t="shared" si="52"/>
        <v>0</v>
      </c>
      <c r="AD74" s="6">
        <f>(((AD70)+(AD71))+(AD72))+(AD73)</f>
        <v>0</v>
      </c>
      <c r="AE74" s="6">
        <f>(((AE70)+(AE71))+(AE72))+(AE73)</f>
        <v>416.65999999999997</v>
      </c>
      <c r="AF74" s="6">
        <f t="shared" si="53"/>
        <v>-416.65999999999997</v>
      </c>
      <c r="AG74" s="7">
        <f t="shared" si="54"/>
        <v>0</v>
      </c>
      <c r="AH74" s="6">
        <f t="shared" si="55"/>
        <v>5040</v>
      </c>
      <c r="AI74" s="6">
        <f t="shared" si="56"/>
        <v>3333.2799999999993</v>
      </c>
      <c r="AJ74" s="6">
        <f t="shared" si="57"/>
        <v>1706.7200000000007</v>
      </c>
      <c r="AK74" s="7">
        <f t="shared" si="58"/>
        <v>1.5120241923870785</v>
      </c>
    </row>
    <row r="75" spans="1:37" x14ac:dyDescent="0.25">
      <c r="A75" s="2" t="s">
        <v>81</v>
      </c>
      <c r="B75" s="3"/>
      <c r="C75" s="3"/>
      <c r="D75" s="4">
        <f t="shared" si="39"/>
        <v>0</v>
      </c>
      <c r="E75" s="5" t="str">
        <f t="shared" si="40"/>
        <v/>
      </c>
      <c r="F75" s="3"/>
      <c r="G75" s="3"/>
      <c r="H75" s="4">
        <f t="shared" si="41"/>
        <v>0</v>
      </c>
      <c r="I75" s="5" t="str">
        <f t="shared" si="42"/>
        <v/>
      </c>
      <c r="J75" s="3"/>
      <c r="K75" s="3"/>
      <c r="L75" s="4">
        <f t="shared" si="43"/>
        <v>0</v>
      </c>
      <c r="M75" s="5" t="str">
        <f t="shared" si="44"/>
        <v/>
      </c>
      <c r="N75" s="3"/>
      <c r="O75" s="3"/>
      <c r="P75" s="4">
        <f t="shared" si="45"/>
        <v>0</v>
      </c>
      <c r="Q75" s="5" t="str">
        <f t="shared" si="46"/>
        <v/>
      </c>
      <c r="R75" s="3"/>
      <c r="S75" s="3"/>
      <c r="T75" s="4">
        <f t="shared" si="47"/>
        <v>0</v>
      </c>
      <c r="U75" s="5" t="str">
        <f t="shared" si="48"/>
        <v/>
      </c>
      <c r="V75" s="3"/>
      <c r="W75" s="3"/>
      <c r="X75" s="4">
        <f t="shared" si="49"/>
        <v>0</v>
      </c>
      <c r="Y75" s="5" t="str">
        <f t="shared" si="50"/>
        <v/>
      </c>
      <c r="Z75" s="3"/>
      <c r="AA75" s="3"/>
      <c r="AB75" s="4">
        <f t="shared" si="51"/>
        <v>0</v>
      </c>
      <c r="AC75" s="5" t="str">
        <f t="shared" si="52"/>
        <v/>
      </c>
      <c r="AD75" s="3"/>
      <c r="AE75" s="3"/>
      <c r="AF75" s="4">
        <f t="shared" si="53"/>
        <v>0</v>
      </c>
      <c r="AG75" s="5" t="str">
        <f t="shared" si="54"/>
        <v/>
      </c>
      <c r="AH75" s="4">
        <f t="shared" si="55"/>
        <v>0</v>
      </c>
      <c r="AI75" s="4">
        <f t="shared" si="56"/>
        <v>0</v>
      </c>
      <c r="AJ75" s="4">
        <f t="shared" si="57"/>
        <v>0</v>
      </c>
      <c r="AK75" s="5" t="str">
        <f t="shared" si="58"/>
        <v/>
      </c>
    </row>
    <row r="76" spans="1:37" x14ac:dyDescent="0.25">
      <c r="A76" s="2" t="s">
        <v>82</v>
      </c>
      <c r="B76" s="4">
        <f>103.14</f>
        <v>103.14</v>
      </c>
      <c r="C76" s="4">
        <f>238.33</f>
        <v>238.33</v>
      </c>
      <c r="D76" s="4">
        <f t="shared" si="39"/>
        <v>-135.19</v>
      </c>
      <c r="E76" s="5">
        <f t="shared" si="40"/>
        <v>0.43276129736080221</v>
      </c>
      <c r="F76" s="4">
        <f>521.47</f>
        <v>521.47</v>
      </c>
      <c r="G76" s="4">
        <f>238.33</f>
        <v>238.33</v>
      </c>
      <c r="H76" s="4">
        <f t="shared" si="41"/>
        <v>283.14</v>
      </c>
      <c r="I76" s="5">
        <f t="shared" si="42"/>
        <v>2.1880166156170016</v>
      </c>
      <c r="J76" s="4">
        <f>525.47</f>
        <v>525.47</v>
      </c>
      <c r="K76" s="4">
        <f>238.33</f>
        <v>238.33</v>
      </c>
      <c r="L76" s="4">
        <f t="shared" si="43"/>
        <v>287.14</v>
      </c>
      <c r="M76" s="5">
        <f t="shared" si="44"/>
        <v>2.2048000671338062</v>
      </c>
      <c r="N76" s="4">
        <f>0</f>
        <v>0</v>
      </c>
      <c r="O76" s="4">
        <f>238.33</f>
        <v>238.33</v>
      </c>
      <c r="P76" s="4">
        <f t="shared" si="45"/>
        <v>-238.33</v>
      </c>
      <c r="Q76" s="5">
        <f t="shared" si="46"/>
        <v>0</v>
      </c>
      <c r="R76" s="4">
        <f>184.08</f>
        <v>184.08</v>
      </c>
      <c r="S76" s="4">
        <f>238.33</f>
        <v>238.33</v>
      </c>
      <c r="T76" s="4">
        <f t="shared" si="47"/>
        <v>-54.25</v>
      </c>
      <c r="U76" s="5">
        <f t="shared" si="48"/>
        <v>0.77237443880333989</v>
      </c>
      <c r="V76" s="4">
        <f>-304.33</f>
        <v>-304.33</v>
      </c>
      <c r="W76" s="4">
        <f>238.33</f>
        <v>238.33</v>
      </c>
      <c r="X76" s="4">
        <f t="shared" si="49"/>
        <v>-542.66</v>
      </c>
      <c r="Y76" s="5">
        <f t="shared" si="50"/>
        <v>-1.2769269500272731</v>
      </c>
      <c r="Z76" s="4">
        <f>93.6</f>
        <v>93.6</v>
      </c>
      <c r="AA76" s="4">
        <f>238.33</f>
        <v>238.33</v>
      </c>
      <c r="AB76" s="4">
        <f t="shared" si="51"/>
        <v>-144.73000000000002</v>
      </c>
      <c r="AC76" s="5">
        <f t="shared" si="52"/>
        <v>0.39273276549322361</v>
      </c>
      <c r="AD76" s="4">
        <f>96.72</f>
        <v>96.72</v>
      </c>
      <c r="AE76" s="4">
        <f>238.33</f>
        <v>238.33</v>
      </c>
      <c r="AF76" s="4">
        <f t="shared" si="53"/>
        <v>-141.61000000000001</v>
      </c>
      <c r="AG76" s="5">
        <f t="shared" si="54"/>
        <v>0.40582385767633111</v>
      </c>
      <c r="AH76" s="4">
        <f t="shared" si="55"/>
        <v>1220.1499999999999</v>
      </c>
      <c r="AI76" s="4">
        <f t="shared" si="56"/>
        <v>1906.6399999999999</v>
      </c>
      <c r="AJ76" s="4">
        <f t="shared" si="57"/>
        <v>-686.49</v>
      </c>
      <c r="AK76" s="5">
        <f t="shared" si="58"/>
        <v>0.63994776150715393</v>
      </c>
    </row>
    <row r="77" spans="1:37" x14ac:dyDescent="0.25">
      <c r="A77" s="2" t="s">
        <v>83</v>
      </c>
      <c r="B77" s="4">
        <f>55.54</f>
        <v>55.54</v>
      </c>
      <c r="C77" s="4">
        <f>128.33</f>
        <v>128.33000000000001</v>
      </c>
      <c r="D77" s="4">
        <f t="shared" si="39"/>
        <v>-72.79000000000002</v>
      </c>
      <c r="E77" s="5">
        <f t="shared" si="40"/>
        <v>0.43279046208992439</v>
      </c>
      <c r="F77" s="4">
        <f>280.79</f>
        <v>280.79000000000002</v>
      </c>
      <c r="G77" s="4">
        <f>128.33</f>
        <v>128.33000000000001</v>
      </c>
      <c r="H77" s="4">
        <f t="shared" si="41"/>
        <v>152.46</v>
      </c>
      <c r="I77" s="5">
        <f t="shared" si="42"/>
        <v>2.1880308579443621</v>
      </c>
      <c r="J77" s="4">
        <f>282.95</f>
        <v>282.95</v>
      </c>
      <c r="K77" s="4">
        <f>128.33</f>
        <v>128.33000000000001</v>
      </c>
      <c r="L77" s="4">
        <f t="shared" si="43"/>
        <v>154.61999999999998</v>
      </c>
      <c r="M77" s="5">
        <f t="shared" si="44"/>
        <v>2.2048624639601027</v>
      </c>
      <c r="N77" s="4">
        <f>0</f>
        <v>0</v>
      </c>
      <c r="O77" s="4">
        <f>128.33</f>
        <v>128.33000000000001</v>
      </c>
      <c r="P77" s="4">
        <f t="shared" si="45"/>
        <v>-128.33000000000001</v>
      </c>
      <c r="Q77" s="5">
        <f t="shared" si="46"/>
        <v>0</v>
      </c>
      <c r="R77" s="4">
        <f>99.12</f>
        <v>99.12</v>
      </c>
      <c r="S77" s="4">
        <f>128.33</f>
        <v>128.33000000000001</v>
      </c>
      <c r="T77" s="4">
        <f t="shared" si="47"/>
        <v>-29.210000000000008</v>
      </c>
      <c r="U77" s="5">
        <f t="shared" si="48"/>
        <v>0.77238369827787734</v>
      </c>
      <c r="V77" s="4">
        <f>-163.87</f>
        <v>-163.87</v>
      </c>
      <c r="W77" s="4">
        <f>128.33</f>
        <v>128.33000000000001</v>
      </c>
      <c r="X77" s="4">
        <f t="shared" si="49"/>
        <v>-292.20000000000005</v>
      </c>
      <c r="Y77" s="5">
        <f t="shared" si="50"/>
        <v>-1.2769422582404737</v>
      </c>
      <c r="Z77" s="4">
        <f>50.4</f>
        <v>50.4</v>
      </c>
      <c r="AA77" s="4">
        <f>128.33</f>
        <v>128.33000000000001</v>
      </c>
      <c r="AB77" s="4">
        <f t="shared" si="51"/>
        <v>-77.930000000000007</v>
      </c>
      <c r="AC77" s="5">
        <f t="shared" si="52"/>
        <v>0.39273747370061557</v>
      </c>
      <c r="AD77" s="4">
        <f>52.08</f>
        <v>52.08</v>
      </c>
      <c r="AE77" s="4">
        <f>128.33</f>
        <v>128.33000000000001</v>
      </c>
      <c r="AF77" s="4">
        <f t="shared" si="53"/>
        <v>-76.250000000000014</v>
      </c>
      <c r="AG77" s="5">
        <f t="shared" si="54"/>
        <v>0.40582872282396942</v>
      </c>
      <c r="AH77" s="4">
        <f t="shared" si="55"/>
        <v>657.01</v>
      </c>
      <c r="AI77" s="4">
        <f t="shared" si="56"/>
        <v>1026.6400000000001</v>
      </c>
      <c r="AJ77" s="4">
        <f t="shared" si="57"/>
        <v>-369.63000000000011</v>
      </c>
      <c r="AK77" s="5">
        <f t="shared" si="58"/>
        <v>0.63996142756954721</v>
      </c>
    </row>
    <row r="78" spans="1:37" x14ac:dyDescent="0.25">
      <c r="A78" s="2" t="s">
        <v>84</v>
      </c>
      <c r="B78" s="4">
        <f>0</f>
        <v>0</v>
      </c>
      <c r="C78" s="3"/>
      <c r="D78" s="4">
        <f t="shared" si="39"/>
        <v>0</v>
      </c>
      <c r="E78" s="5" t="str">
        <f t="shared" si="40"/>
        <v/>
      </c>
      <c r="F78" s="4">
        <f>-617</f>
        <v>-617</v>
      </c>
      <c r="G78" s="3"/>
      <c r="H78" s="4">
        <f t="shared" si="41"/>
        <v>-617</v>
      </c>
      <c r="I78" s="5" t="str">
        <f t="shared" si="42"/>
        <v/>
      </c>
      <c r="J78" s="4">
        <f>0</f>
        <v>0</v>
      </c>
      <c r="K78" s="3"/>
      <c r="L78" s="4">
        <f t="shared" si="43"/>
        <v>0</v>
      </c>
      <c r="M78" s="5" t="str">
        <f t="shared" si="44"/>
        <v/>
      </c>
      <c r="N78" s="4">
        <f>0</f>
        <v>0</v>
      </c>
      <c r="O78" s="3"/>
      <c r="P78" s="4">
        <f t="shared" si="45"/>
        <v>0</v>
      </c>
      <c r="Q78" s="5" t="str">
        <f t="shared" si="46"/>
        <v/>
      </c>
      <c r="R78" s="4">
        <f>0</f>
        <v>0</v>
      </c>
      <c r="S78" s="3"/>
      <c r="T78" s="4">
        <f t="shared" si="47"/>
        <v>0</v>
      </c>
      <c r="U78" s="5" t="str">
        <f t="shared" si="48"/>
        <v/>
      </c>
      <c r="V78" s="4">
        <f>617</f>
        <v>617</v>
      </c>
      <c r="W78" s="3"/>
      <c r="X78" s="4">
        <f t="shared" si="49"/>
        <v>617</v>
      </c>
      <c r="Y78" s="5" t="str">
        <f t="shared" si="50"/>
        <v/>
      </c>
      <c r="Z78" s="4">
        <f>0</f>
        <v>0</v>
      </c>
      <c r="AA78" s="3"/>
      <c r="AB78" s="4">
        <f t="shared" si="51"/>
        <v>0</v>
      </c>
      <c r="AC78" s="5" t="str">
        <f t="shared" si="52"/>
        <v/>
      </c>
      <c r="AD78" s="4">
        <f>0</f>
        <v>0</v>
      </c>
      <c r="AE78" s="3"/>
      <c r="AF78" s="4">
        <f t="shared" si="53"/>
        <v>0</v>
      </c>
      <c r="AG78" s="5" t="str">
        <f t="shared" si="54"/>
        <v/>
      </c>
      <c r="AH78" s="4">
        <f t="shared" si="55"/>
        <v>0</v>
      </c>
      <c r="AI78" s="4">
        <f t="shared" si="56"/>
        <v>0</v>
      </c>
      <c r="AJ78" s="4">
        <f t="shared" si="57"/>
        <v>0</v>
      </c>
      <c r="AK78" s="5" t="str">
        <f t="shared" si="58"/>
        <v/>
      </c>
    </row>
    <row r="79" spans="1:37" x14ac:dyDescent="0.25">
      <c r="A79" s="2" t="s">
        <v>85</v>
      </c>
      <c r="B79" s="6">
        <f>(((B75)+(B76))+(B77))+(B78)</f>
        <v>158.68</v>
      </c>
      <c r="C79" s="6">
        <f>(((C75)+(C76))+(C77))+(C78)</f>
        <v>366.66</v>
      </c>
      <c r="D79" s="6">
        <f t="shared" ref="D79:D110" si="59">(B79)-(C79)</f>
        <v>-207.98000000000002</v>
      </c>
      <c r="E79" s="7">
        <f t="shared" ref="E79:E110" si="60">IF(C79=0,"",(B79)/(C79))</f>
        <v>0.43277150493645339</v>
      </c>
      <c r="F79" s="6">
        <f>(((F75)+(F76))+(F77))+(F78)</f>
        <v>185.26</v>
      </c>
      <c r="G79" s="6">
        <f>(((G75)+(G76))+(G77))+(G78)</f>
        <v>366.66</v>
      </c>
      <c r="H79" s="6">
        <f t="shared" ref="H79:H110" si="61">(F79)-(G79)</f>
        <v>-181.40000000000003</v>
      </c>
      <c r="I79" s="7">
        <f t="shared" ref="I79:I110" si="62">IF(G79=0,"",(F79)/(G79))</f>
        <v>0.50526373206785569</v>
      </c>
      <c r="J79" s="6">
        <f>(((J75)+(J76))+(J77))+(J78)</f>
        <v>808.42000000000007</v>
      </c>
      <c r="K79" s="6">
        <f>(((K75)+(K76))+(K77))+(K78)</f>
        <v>366.66</v>
      </c>
      <c r="L79" s="6">
        <f t="shared" ref="L79:L110" si="63">(J79)-(K79)</f>
        <v>441.76000000000005</v>
      </c>
      <c r="M79" s="7">
        <f t="shared" ref="M79:M110" si="64">IF(K79=0,"",(J79)/(K79))</f>
        <v>2.2048219058528336</v>
      </c>
      <c r="N79" s="6">
        <f>(((N75)+(N76))+(N77))+(N78)</f>
        <v>0</v>
      </c>
      <c r="O79" s="6">
        <f>(((O75)+(O76))+(O77))+(O78)</f>
        <v>366.66</v>
      </c>
      <c r="P79" s="6">
        <f t="shared" ref="P79:P110" si="65">(N79)-(O79)</f>
        <v>-366.66</v>
      </c>
      <c r="Q79" s="7">
        <f t="shared" ref="Q79:Q110" si="66">IF(O79=0,"",(N79)/(O79))</f>
        <v>0</v>
      </c>
      <c r="R79" s="6">
        <f>(((R75)+(R76))+(R77))+(R78)</f>
        <v>283.20000000000005</v>
      </c>
      <c r="S79" s="6">
        <f>(((S75)+(S76))+(S77))+(S78)</f>
        <v>366.66</v>
      </c>
      <c r="T79" s="6">
        <f t="shared" ref="T79:T110" si="67">(R79)-(S79)</f>
        <v>-83.45999999999998</v>
      </c>
      <c r="U79" s="7">
        <f t="shared" ref="U79:U110" si="68">IF(S79=0,"",(R79)/(S79))</f>
        <v>0.77237767959417447</v>
      </c>
      <c r="V79" s="6">
        <f>(((V75)+(V76))+(V77))+(V78)</f>
        <v>148.80000000000001</v>
      </c>
      <c r="W79" s="6">
        <f>(((W75)+(W76))+(W77))+(W78)</f>
        <v>366.66</v>
      </c>
      <c r="X79" s="6">
        <f t="shared" ref="X79:X110" si="69">(V79)-(W79)</f>
        <v>-217.86</v>
      </c>
      <c r="Y79" s="7">
        <f t="shared" ref="Y79:Y110" si="70">IF(W79=0,"",(V79)/(W79))</f>
        <v>0.40582556046473572</v>
      </c>
      <c r="Z79" s="6">
        <f>(((Z75)+(Z76))+(Z77))+(Z78)</f>
        <v>144</v>
      </c>
      <c r="AA79" s="6">
        <f>(((AA75)+(AA76))+(AA77))+(AA78)</f>
        <v>366.66</v>
      </c>
      <c r="AB79" s="6">
        <f t="shared" ref="AB79:AB110" si="71">(Z79)-(AA79)</f>
        <v>-222.66000000000003</v>
      </c>
      <c r="AC79" s="7">
        <f t="shared" ref="AC79:AC110" si="72">IF(AA79=0,"",(Z79)/(AA79))</f>
        <v>0.39273441335297005</v>
      </c>
      <c r="AD79" s="6">
        <f>(((AD75)+(AD76))+(AD77))+(AD78)</f>
        <v>148.80000000000001</v>
      </c>
      <c r="AE79" s="6">
        <f>(((AE75)+(AE76))+(AE77))+(AE78)</f>
        <v>366.66</v>
      </c>
      <c r="AF79" s="6">
        <f t="shared" ref="AF79:AF110" si="73">(AD79)-(AE79)</f>
        <v>-217.86</v>
      </c>
      <c r="AG79" s="7">
        <f t="shared" ref="AG79:AG110" si="74">IF(AE79=0,"",(AD79)/(AE79))</f>
        <v>0.40582556046473572</v>
      </c>
      <c r="AH79" s="6">
        <f t="shared" ref="AH79:AH110" si="75">(((((((B79)+(F79))+(J79))+(N79))+(R79))+(V79))+(Z79))+(AD79)</f>
        <v>1877.16</v>
      </c>
      <c r="AI79" s="6">
        <f t="shared" ref="AI79:AI110" si="76">(((((((C79)+(G79))+(K79))+(O79))+(S79))+(W79))+(AA79))+(AE79)</f>
        <v>2933.2799999999997</v>
      </c>
      <c r="AJ79" s="6">
        <f t="shared" ref="AJ79:AJ110" si="77">(AH79)-(AI79)</f>
        <v>-1056.1199999999997</v>
      </c>
      <c r="AK79" s="7">
        <f t="shared" ref="AK79:AK110" si="78">IF(AI79=0,"",(AH79)/(AI79))</f>
        <v>0.63995254459171991</v>
      </c>
    </row>
    <row r="80" spans="1:37" x14ac:dyDescent="0.25">
      <c r="A80" s="2" t="s">
        <v>86</v>
      </c>
      <c r="B80" s="3"/>
      <c r="C80" s="3"/>
      <c r="D80" s="4">
        <f t="shared" si="59"/>
        <v>0</v>
      </c>
      <c r="E80" s="5" t="str">
        <f t="shared" si="60"/>
        <v/>
      </c>
      <c r="F80" s="3"/>
      <c r="G80" s="3"/>
      <c r="H80" s="4">
        <f t="shared" si="61"/>
        <v>0</v>
      </c>
      <c r="I80" s="5" t="str">
        <f t="shared" si="62"/>
        <v/>
      </c>
      <c r="J80" s="3"/>
      <c r="K80" s="3"/>
      <c r="L80" s="4">
        <f t="shared" si="63"/>
        <v>0</v>
      </c>
      <c r="M80" s="5" t="str">
        <f t="shared" si="64"/>
        <v/>
      </c>
      <c r="N80" s="3"/>
      <c r="O80" s="3"/>
      <c r="P80" s="4">
        <f t="shared" si="65"/>
        <v>0</v>
      </c>
      <c r="Q80" s="5" t="str">
        <f t="shared" si="66"/>
        <v/>
      </c>
      <c r="R80" s="3"/>
      <c r="S80" s="3"/>
      <c r="T80" s="4">
        <f t="shared" si="67"/>
        <v>0</v>
      </c>
      <c r="U80" s="5" t="str">
        <f t="shared" si="68"/>
        <v/>
      </c>
      <c r="V80" s="3"/>
      <c r="W80" s="3"/>
      <c r="X80" s="4">
        <f t="shared" si="69"/>
        <v>0</v>
      </c>
      <c r="Y80" s="5" t="str">
        <f t="shared" si="70"/>
        <v/>
      </c>
      <c r="Z80" s="3"/>
      <c r="AA80" s="3"/>
      <c r="AB80" s="4">
        <f t="shared" si="71"/>
        <v>0</v>
      </c>
      <c r="AC80" s="5" t="str">
        <f t="shared" si="72"/>
        <v/>
      </c>
      <c r="AD80" s="3"/>
      <c r="AE80" s="3"/>
      <c r="AF80" s="4">
        <f t="shared" si="73"/>
        <v>0</v>
      </c>
      <c r="AG80" s="5" t="str">
        <f t="shared" si="74"/>
        <v/>
      </c>
      <c r="AH80" s="4">
        <f t="shared" si="75"/>
        <v>0</v>
      </c>
      <c r="AI80" s="4">
        <f t="shared" si="76"/>
        <v>0</v>
      </c>
      <c r="AJ80" s="4">
        <f t="shared" si="77"/>
        <v>0</v>
      </c>
      <c r="AK80" s="5" t="str">
        <f t="shared" si="78"/>
        <v/>
      </c>
    </row>
    <row r="81" spans="1:37" x14ac:dyDescent="0.25">
      <c r="A81" s="2" t="s">
        <v>87</v>
      </c>
      <c r="B81" s="3"/>
      <c r="C81" s="3"/>
      <c r="D81" s="4">
        <f t="shared" si="59"/>
        <v>0</v>
      </c>
      <c r="E81" s="5" t="str">
        <f t="shared" si="60"/>
        <v/>
      </c>
      <c r="F81" s="3"/>
      <c r="G81" s="3"/>
      <c r="H81" s="4">
        <f t="shared" si="61"/>
        <v>0</v>
      </c>
      <c r="I81" s="5" t="str">
        <f t="shared" si="62"/>
        <v/>
      </c>
      <c r="J81" s="3"/>
      <c r="K81" s="3"/>
      <c r="L81" s="4">
        <f t="shared" si="63"/>
        <v>0</v>
      </c>
      <c r="M81" s="5" t="str">
        <f t="shared" si="64"/>
        <v/>
      </c>
      <c r="N81" s="3"/>
      <c r="O81" s="3"/>
      <c r="P81" s="4">
        <f t="shared" si="65"/>
        <v>0</v>
      </c>
      <c r="Q81" s="5" t="str">
        <f t="shared" si="66"/>
        <v/>
      </c>
      <c r="R81" s="4">
        <f>0</f>
        <v>0</v>
      </c>
      <c r="S81" s="3"/>
      <c r="T81" s="4">
        <f t="shared" si="67"/>
        <v>0</v>
      </c>
      <c r="U81" s="5" t="str">
        <f t="shared" si="68"/>
        <v/>
      </c>
      <c r="V81" s="4">
        <f>11.12</f>
        <v>11.12</v>
      </c>
      <c r="W81" s="3"/>
      <c r="X81" s="4">
        <f t="shared" si="69"/>
        <v>11.12</v>
      </c>
      <c r="Y81" s="5" t="str">
        <f t="shared" si="70"/>
        <v/>
      </c>
      <c r="Z81" s="3"/>
      <c r="AA81" s="3"/>
      <c r="AB81" s="4">
        <f t="shared" si="71"/>
        <v>0</v>
      </c>
      <c r="AC81" s="5" t="str">
        <f t="shared" si="72"/>
        <v/>
      </c>
      <c r="AD81" s="3"/>
      <c r="AE81" s="3"/>
      <c r="AF81" s="4">
        <f t="shared" si="73"/>
        <v>0</v>
      </c>
      <c r="AG81" s="5" t="str">
        <f t="shared" si="74"/>
        <v/>
      </c>
      <c r="AH81" s="4">
        <f t="shared" si="75"/>
        <v>11.12</v>
      </c>
      <c r="AI81" s="4">
        <f t="shared" si="76"/>
        <v>0</v>
      </c>
      <c r="AJ81" s="4">
        <f t="shared" si="77"/>
        <v>11.12</v>
      </c>
      <c r="AK81" s="5" t="str">
        <f t="shared" si="78"/>
        <v/>
      </c>
    </row>
    <row r="82" spans="1:37" x14ac:dyDescent="0.25">
      <c r="A82" s="2" t="s">
        <v>88</v>
      </c>
      <c r="B82" s="3"/>
      <c r="C82" s="3"/>
      <c r="D82" s="4">
        <f t="shared" si="59"/>
        <v>0</v>
      </c>
      <c r="E82" s="5" t="str">
        <f t="shared" si="60"/>
        <v/>
      </c>
      <c r="F82" s="3"/>
      <c r="G82" s="3"/>
      <c r="H82" s="4">
        <f t="shared" si="61"/>
        <v>0</v>
      </c>
      <c r="I82" s="5" t="str">
        <f t="shared" si="62"/>
        <v/>
      </c>
      <c r="J82" s="3"/>
      <c r="K82" s="3"/>
      <c r="L82" s="4">
        <f t="shared" si="63"/>
        <v>0</v>
      </c>
      <c r="M82" s="5" t="str">
        <f t="shared" si="64"/>
        <v/>
      </c>
      <c r="N82" s="3"/>
      <c r="O82" s="3"/>
      <c r="P82" s="4">
        <f t="shared" si="65"/>
        <v>0</v>
      </c>
      <c r="Q82" s="5" t="str">
        <f t="shared" si="66"/>
        <v/>
      </c>
      <c r="R82" s="4">
        <f>0</f>
        <v>0</v>
      </c>
      <c r="S82" s="3"/>
      <c r="T82" s="4">
        <f t="shared" si="67"/>
        <v>0</v>
      </c>
      <c r="U82" s="5" t="str">
        <f t="shared" si="68"/>
        <v/>
      </c>
      <c r="V82" s="4">
        <f>5.99</f>
        <v>5.99</v>
      </c>
      <c r="W82" s="3"/>
      <c r="X82" s="4">
        <f t="shared" si="69"/>
        <v>5.99</v>
      </c>
      <c r="Y82" s="5" t="str">
        <f t="shared" si="70"/>
        <v/>
      </c>
      <c r="Z82" s="3"/>
      <c r="AA82" s="3"/>
      <c r="AB82" s="4">
        <f t="shared" si="71"/>
        <v>0</v>
      </c>
      <c r="AC82" s="5" t="str">
        <f t="shared" si="72"/>
        <v/>
      </c>
      <c r="AD82" s="3"/>
      <c r="AE82" s="3"/>
      <c r="AF82" s="4">
        <f t="shared" si="73"/>
        <v>0</v>
      </c>
      <c r="AG82" s="5" t="str">
        <f t="shared" si="74"/>
        <v/>
      </c>
      <c r="AH82" s="4">
        <f t="shared" si="75"/>
        <v>5.99</v>
      </c>
      <c r="AI82" s="4">
        <f t="shared" si="76"/>
        <v>0</v>
      </c>
      <c r="AJ82" s="4">
        <f t="shared" si="77"/>
        <v>5.99</v>
      </c>
      <c r="AK82" s="5" t="str">
        <f t="shared" si="78"/>
        <v/>
      </c>
    </row>
    <row r="83" spans="1:37" x14ac:dyDescent="0.25">
      <c r="A83" s="2" t="s">
        <v>89</v>
      </c>
      <c r="B83" s="3"/>
      <c r="C83" s="3"/>
      <c r="D83" s="4">
        <f t="shared" si="59"/>
        <v>0</v>
      </c>
      <c r="E83" s="5" t="str">
        <f t="shared" si="60"/>
        <v/>
      </c>
      <c r="F83" s="3"/>
      <c r="G83" s="3"/>
      <c r="H83" s="4">
        <f t="shared" si="61"/>
        <v>0</v>
      </c>
      <c r="I83" s="5" t="str">
        <f t="shared" si="62"/>
        <v/>
      </c>
      <c r="J83" s="3"/>
      <c r="K83" s="3"/>
      <c r="L83" s="4">
        <f t="shared" si="63"/>
        <v>0</v>
      </c>
      <c r="M83" s="5" t="str">
        <f t="shared" si="64"/>
        <v/>
      </c>
      <c r="N83" s="3"/>
      <c r="O83" s="3"/>
      <c r="P83" s="4">
        <f t="shared" si="65"/>
        <v>0</v>
      </c>
      <c r="Q83" s="5" t="str">
        <f t="shared" si="66"/>
        <v/>
      </c>
      <c r="R83" s="4">
        <f>0</f>
        <v>0</v>
      </c>
      <c r="S83" s="3"/>
      <c r="T83" s="4">
        <f t="shared" si="67"/>
        <v>0</v>
      </c>
      <c r="U83" s="5" t="str">
        <f t="shared" si="68"/>
        <v/>
      </c>
      <c r="V83" s="4">
        <f>0</f>
        <v>0</v>
      </c>
      <c r="W83" s="3"/>
      <c r="X83" s="4">
        <f t="shared" si="69"/>
        <v>0</v>
      </c>
      <c r="Y83" s="5" t="str">
        <f t="shared" si="70"/>
        <v/>
      </c>
      <c r="Z83" s="3"/>
      <c r="AA83" s="3"/>
      <c r="AB83" s="4">
        <f t="shared" si="71"/>
        <v>0</v>
      </c>
      <c r="AC83" s="5" t="str">
        <f t="shared" si="72"/>
        <v/>
      </c>
      <c r="AD83" s="3"/>
      <c r="AE83" s="3"/>
      <c r="AF83" s="4">
        <f t="shared" si="73"/>
        <v>0</v>
      </c>
      <c r="AG83" s="5" t="str">
        <f t="shared" si="74"/>
        <v/>
      </c>
      <c r="AH83" s="4">
        <f t="shared" si="75"/>
        <v>0</v>
      </c>
      <c r="AI83" s="4">
        <f t="shared" si="76"/>
        <v>0</v>
      </c>
      <c r="AJ83" s="4">
        <f t="shared" si="77"/>
        <v>0</v>
      </c>
      <c r="AK83" s="5" t="str">
        <f t="shared" si="78"/>
        <v/>
      </c>
    </row>
    <row r="84" spans="1:37" x14ac:dyDescent="0.25">
      <c r="A84" s="2" t="s">
        <v>90</v>
      </c>
      <c r="B84" s="6">
        <f>(((B80)+(B81))+(B82))+(B83)</f>
        <v>0</v>
      </c>
      <c r="C84" s="6">
        <f>(((C80)+(C81))+(C82))+(C83)</f>
        <v>0</v>
      </c>
      <c r="D84" s="6">
        <f t="shared" si="59"/>
        <v>0</v>
      </c>
      <c r="E84" s="7" t="str">
        <f t="shared" si="60"/>
        <v/>
      </c>
      <c r="F84" s="6">
        <f>(((F80)+(F81))+(F82))+(F83)</f>
        <v>0</v>
      </c>
      <c r="G84" s="6">
        <f>(((G80)+(G81))+(G82))+(G83)</f>
        <v>0</v>
      </c>
      <c r="H84" s="6">
        <f t="shared" si="61"/>
        <v>0</v>
      </c>
      <c r="I84" s="7" t="str">
        <f t="shared" si="62"/>
        <v/>
      </c>
      <c r="J84" s="6">
        <f>(((J80)+(J81))+(J82))+(J83)</f>
        <v>0</v>
      </c>
      <c r="K84" s="6">
        <f>(((K80)+(K81))+(K82))+(K83)</f>
        <v>0</v>
      </c>
      <c r="L84" s="6">
        <f t="shared" si="63"/>
        <v>0</v>
      </c>
      <c r="M84" s="7" t="str">
        <f t="shared" si="64"/>
        <v/>
      </c>
      <c r="N84" s="6">
        <f>(((N80)+(N81))+(N82))+(N83)</f>
        <v>0</v>
      </c>
      <c r="O84" s="6">
        <f>(((O80)+(O81))+(O82))+(O83)</f>
        <v>0</v>
      </c>
      <c r="P84" s="6">
        <f t="shared" si="65"/>
        <v>0</v>
      </c>
      <c r="Q84" s="7" t="str">
        <f t="shared" si="66"/>
        <v/>
      </c>
      <c r="R84" s="6">
        <f>(((R80)+(R81))+(R82))+(R83)</f>
        <v>0</v>
      </c>
      <c r="S84" s="6">
        <f>(((S80)+(S81))+(S82))+(S83)</f>
        <v>0</v>
      </c>
      <c r="T84" s="6">
        <f t="shared" si="67"/>
        <v>0</v>
      </c>
      <c r="U84" s="7" t="str">
        <f t="shared" si="68"/>
        <v/>
      </c>
      <c r="V84" s="6">
        <f>(((V80)+(V81))+(V82))+(V83)</f>
        <v>17.11</v>
      </c>
      <c r="W84" s="6">
        <f>(((W80)+(W81))+(W82))+(W83)</f>
        <v>0</v>
      </c>
      <c r="X84" s="6">
        <f t="shared" si="69"/>
        <v>17.11</v>
      </c>
      <c r="Y84" s="7" t="str">
        <f t="shared" si="70"/>
        <v/>
      </c>
      <c r="Z84" s="6">
        <f>(((Z80)+(Z81))+(Z82))+(Z83)</f>
        <v>0</v>
      </c>
      <c r="AA84" s="6">
        <f>(((AA80)+(AA81))+(AA82))+(AA83)</f>
        <v>0</v>
      </c>
      <c r="AB84" s="6">
        <f t="shared" si="71"/>
        <v>0</v>
      </c>
      <c r="AC84" s="7" t="str">
        <f t="shared" si="72"/>
        <v/>
      </c>
      <c r="AD84" s="6">
        <f>(((AD80)+(AD81))+(AD82))+(AD83)</f>
        <v>0</v>
      </c>
      <c r="AE84" s="6">
        <f>(((AE80)+(AE81))+(AE82))+(AE83)</f>
        <v>0</v>
      </c>
      <c r="AF84" s="6">
        <f t="shared" si="73"/>
        <v>0</v>
      </c>
      <c r="AG84" s="7" t="str">
        <f t="shared" si="74"/>
        <v/>
      </c>
      <c r="AH84" s="6">
        <f t="shared" si="75"/>
        <v>17.11</v>
      </c>
      <c r="AI84" s="6">
        <f t="shared" si="76"/>
        <v>0</v>
      </c>
      <c r="AJ84" s="6">
        <f t="shared" si="77"/>
        <v>17.11</v>
      </c>
      <c r="AK84" s="7" t="str">
        <f t="shared" si="78"/>
        <v/>
      </c>
    </row>
    <row r="85" spans="1:37" x14ac:dyDescent="0.25">
      <c r="A85" s="2" t="s">
        <v>91</v>
      </c>
      <c r="B85" s="3"/>
      <c r="C85" s="3"/>
      <c r="D85" s="4">
        <f t="shared" si="59"/>
        <v>0</v>
      </c>
      <c r="E85" s="5" t="str">
        <f t="shared" si="60"/>
        <v/>
      </c>
      <c r="F85" s="3"/>
      <c r="G85" s="3"/>
      <c r="H85" s="4">
        <f t="shared" si="61"/>
        <v>0</v>
      </c>
      <c r="I85" s="5" t="str">
        <f t="shared" si="62"/>
        <v/>
      </c>
      <c r="J85" s="3"/>
      <c r="K85" s="3"/>
      <c r="L85" s="4">
        <f t="shared" si="63"/>
        <v>0</v>
      </c>
      <c r="M85" s="5" t="str">
        <f t="shared" si="64"/>
        <v/>
      </c>
      <c r="N85" s="3"/>
      <c r="O85" s="3"/>
      <c r="P85" s="4">
        <f t="shared" si="65"/>
        <v>0</v>
      </c>
      <c r="Q85" s="5" t="str">
        <f t="shared" si="66"/>
        <v/>
      </c>
      <c r="R85" s="3"/>
      <c r="S85" s="3"/>
      <c r="T85" s="4">
        <f t="shared" si="67"/>
        <v>0</v>
      </c>
      <c r="U85" s="5" t="str">
        <f t="shared" si="68"/>
        <v/>
      </c>
      <c r="V85" s="3"/>
      <c r="W85" s="3"/>
      <c r="X85" s="4">
        <f t="shared" si="69"/>
        <v>0</v>
      </c>
      <c r="Y85" s="5" t="str">
        <f t="shared" si="70"/>
        <v/>
      </c>
      <c r="Z85" s="3"/>
      <c r="AA85" s="3"/>
      <c r="AB85" s="4">
        <f t="shared" si="71"/>
        <v>0</v>
      </c>
      <c r="AC85" s="5" t="str">
        <f t="shared" si="72"/>
        <v/>
      </c>
      <c r="AD85" s="3"/>
      <c r="AE85" s="3"/>
      <c r="AF85" s="4">
        <f t="shared" si="73"/>
        <v>0</v>
      </c>
      <c r="AG85" s="5" t="str">
        <f t="shared" si="74"/>
        <v/>
      </c>
      <c r="AH85" s="4">
        <f t="shared" si="75"/>
        <v>0</v>
      </c>
      <c r="AI85" s="4">
        <f t="shared" si="76"/>
        <v>0</v>
      </c>
      <c r="AJ85" s="4">
        <f t="shared" si="77"/>
        <v>0</v>
      </c>
      <c r="AK85" s="5" t="str">
        <f t="shared" si="78"/>
        <v/>
      </c>
    </row>
    <row r="86" spans="1:37" x14ac:dyDescent="0.25">
      <c r="A86" s="2" t="s">
        <v>92</v>
      </c>
      <c r="B86" s="3"/>
      <c r="C86" s="4">
        <f>92.08</f>
        <v>92.08</v>
      </c>
      <c r="D86" s="4">
        <f t="shared" si="59"/>
        <v>-92.08</v>
      </c>
      <c r="E86" s="5">
        <f t="shared" si="60"/>
        <v>0</v>
      </c>
      <c r="F86" s="4">
        <f>220</f>
        <v>220</v>
      </c>
      <c r="G86" s="4">
        <f>92.08</f>
        <v>92.08</v>
      </c>
      <c r="H86" s="4">
        <f t="shared" si="61"/>
        <v>127.92</v>
      </c>
      <c r="I86" s="5">
        <f t="shared" si="62"/>
        <v>2.3892267593397047</v>
      </c>
      <c r="J86" s="3"/>
      <c r="K86" s="4">
        <f>92.08</f>
        <v>92.08</v>
      </c>
      <c r="L86" s="4">
        <f t="shared" si="63"/>
        <v>-92.08</v>
      </c>
      <c r="M86" s="5">
        <f t="shared" si="64"/>
        <v>0</v>
      </c>
      <c r="N86" s="3"/>
      <c r="O86" s="4">
        <f>92.08</f>
        <v>92.08</v>
      </c>
      <c r="P86" s="4">
        <f t="shared" si="65"/>
        <v>-92.08</v>
      </c>
      <c r="Q86" s="5">
        <f t="shared" si="66"/>
        <v>0</v>
      </c>
      <c r="R86" s="3"/>
      <c r="S86" s="4">
        <f>92.08</f>
        <v>92.08</v>
      </c>
      <c r="T86" s="4">
        <f t="shared" si="67"/>
        <v>-92.08</v>
      </c>
      <c r="U86" s="5">
        <f t="shared" si="68"/>
        <v>0</v>
      </c>
      <c r="V86" s="3"/>
      <c r="W86" s="4">
        <f>92.08</f>
        <v>92.08</v>
      </c>
      <c r="X86" s="4">
        <f t="shared" si="69"/>
        <v>-92.08</v>
      </c>
      <c r="Y86" s="5">
        <f t="shared" si="70"/>
        <v>0</v>
      </c>
      <c r="Z86" s="4">
        <f>425.8</f>
        <v>425.8</v>
      </c>
      <c r="AA86" s="4">
        <f>92.08</f>
        <v>92.08</v>
      </c>
      <c r="AB86" s="4">
        <f t="shared" si="71"/>
        <v>333.72</v>
      </c>
      <c r="AC86" s="5">
        <f t="shared" si="72"/>
        <v>4.6242397914856648</v>
      </c>
      <c r="AD86" s="4">
        <f>73.97</f>
        <v>73.97</v>
      </c>
      <c r="AE86" s="4">
        <f>92.08</f>
        <v>92.08</v>
      </c>
      <c r="AF86" s="4">
        <f t="shared" si="73"/>
        <v>-18.11</v>
      </c>
      <c r="AG86" s="5">
        <f t="shared" si="74"/>
        <v>0.80332319721980883</v>
      </c>
      <c r="AH86" s="4">
        <f t="shared" si="75"/>
        <v>719.77</v>
      </c>
      <c r="AI86" s="4">
        <f t="shared" si="76"/>
        <v>736.6400000000001</v>
      </c>
      <c r="AJ86" s="4">
        <f t="shared" si="77"/>
        <v>-16.870000000000118</v>
      </c>
      <c r="AK86" s="5">
        <f t="shared" si="78"/>
        <v>0.97709871850564711</v>
      </c>
    </row>
    <row r="87" spans="1:37" x14ac:dyDescent="0.25">
      <c r="A87" s="2" t="s">
        <v>93</v>
      </c>
      <c r="B87" s="3"/>
      <c r="C87" s="4">
        <f>49.58</f>
        <v>49.58</v>
      </c>
      <c r="D87" s="4">
        <f t="shared" si="59"/>
        <v>-49.58</v>
      </c>
      <c r="E87" s="5">
        <f t="shared" si="60"/>
        <v>0</v>
      </c>
      <c r="F87" s="4">
        <f>118.46</f>
        <v>118.46</v>
      </c>
      <c r="G87" s="4">
        <f>49.58</f>
        <v>49.58</v>
      </c>
      <c r="H87" s="4">
        <f t="shared" si="61"/>
        <v>68.88</v>
      </c>
      <c r="I87" s="5">
        <f t="shared" si="62"/>
        <v>2.3892698668818073</v>
      </c>
      <c r="J87" s="3"/>
      <c r="K87" s="4">
        <f>49.58</f>
        <v>49.58</v>
      </c>
      <c r="L87" s="4">
        <f t="shared" si="63"/>
        <v>-49.58</v>
      </c>
      <c r="M87" s="5">
        <f t="shared" si="64"/>
        <v>0</v>
      </c>
      <c r="N87" s="3"/>
      <c r="O87" s="4">
        <f>49.58</f>
        <v>49.58</v>
      </c>
      <c r="P87" s="4">
        <f t="shared" si="65"/>
        <v>-49.58</v>
      </c>
      <c r="Q87" s="5">
        <f t="shared" si="66"/>
        <v>0</v>
      </c>
      <c r="R87" s="3"/>
      <c r="S87" s="4">
        <f>49.58</f>
        <v>49.58</v>
      </c>
      <c r="T87" s="4">
        <f t="shared" si="67"/>
        <v>-49.58</v>
      </c>
      <c r="U87" s="5">
        <f t="shared" si="68"/>
        <v>0</v>
      </c>
      <c r="V87" s="3"/>
      <c r="W87" s="4">
        <f>49.58</f>
        <v>49.58</v>
      </c>
      <c r="X87" s="4">
        <f t="shared" si="69"/>
        <v>-49.58</v>
      </c>
      <c r="Y87" s="5">
        <f t="shared" si="70"/>
        <v>0</v>
      </c>
      <c r="Z87" s="4">
        <f>229.27</f>
        <v>229.27</v>
      </c>
      <c r="AA87" s="4">
        <f>49.58</f>
        <v>49.58</v>
      </c>
      <c r="AB87" s="4">
        <f t="shared" si="71"/>
        <v>179.69</v>
      </c>
      <c r="AC87" s="5">
        <f t="shared" si="72"/>
        <v>4.6242436466317063</v>
      </c>
      <c r="AD87" s="4">
        <f>39.83</f>
        <v>39.83</v>
      </c>
      <c r="AE87" s="4">
        <f>49.58</f>
        <v>49.58</v>
      </c>
      <c r="AF87" s="4">
        <f t="shared" si="73"/>
        <v>-9.75</v>
      </c>
      <c r="AG87" s="5">
        <f t="shared" si="74"/>
        <v>0.80334812424364666</v>
      </c>
      <c r="AH87" s="4">
        <f t="shared" si="75"/>
        <v>387.56</v>
      </c>
      <c r="AI87" s="4">
        <f t="shared" si="76"/>
        <v>396.63999999999993</v>
      </c>
      <c r="AJ87" s="4">
        <f t="shared" si="77"/>
        <v>-9.0799999999999272</v>
      </c>
      <c r="AK87" s="5">
        <f t="shared" si="78"/>
        <v>0.97710770471964514</v>
      </c>
    </row>
    <row r="88" spans="1:37" x14ac:dyDescent="0.25">
      <c r="A88" s="2" t="s">
        <v>94</v>
      </c>
      <c r="B88" s="3"/>
      <c r="C88" s="3"/>
      <c r="D88" s="4">
        <f t="shared" si="59"/>
        <v>0</v>
      </c>
      <c r="E88" s="5" t="str">
        <f t="shared" si="60"/>
        <v/>
      </c>
      <c r="F88" s="4">
        <f>0</f>
        <v>0</v>
      </c>
      <c r="G88" s="3"/>
      <c r="H88" s="4">
        <f t="shared" si="61"/>
        <v>0</v>
      </c>
      <c r="I88" s="5" t="str">
        <f t="shared" si="62"/>
        <v/>
      </c>
      <c r="J88" s="3"/>
      <c r="K88" s="3"/>
      <c r="L88" s="4">
        <f t="shared" si="63"/>
        <v>0</v>
      </c>
      <c r="M88" s="5" t="str">
        <f t="shared" si="64"/>
        <v/>
      </c>
      <c r="N88" s="3"/>
      <c r="O88" s="3"/>
      <c r="P88" s="4">
        <f t="shared" si="65"/>
        <v>0</v>
      </c>
      <c r="Q88" s="5" t="str">
        <f t="shared" si="66"/>
        <v/>
      </c>
      <c r="R88" s="3"/>
      <c r="S88" s="3"/>
      <c r="T88" s="4">
        <f t="shared" si="67"/>
        <v>0</v>
      </c>
      <c r="U88" s="5" t="str">
        <f t="shared" si="68"/>
        <v/>
      </c>
      <c r="V88" s="3"/>
      <c r="W88" s="3"/>
      <c r="X88" s="4">
        <f t="shared" si="69"/>
        <v>0</v>
      </c>
      <c r="Y88" s="5" t="str">
        <f t="shared" si="70"/>
        <v/>
      </c>
      <c r="Z88" s="4">
        <f>0</f>
        <v>0</v>
      </c>
      <c r="AA88" s="3"/>
      <c r="AB88" s="4">
        <f t="shared" si="71"/>
        <v>0</v>
      </c>
      <c r="AC88" s="5" t="str">
        <f t="shared" si="72"/>
        <v/>
      </c>
      <c r="AD88" s="4">
        <f>0</f>
        <v>0</v>
      </c>
      <c r="AE88" s="3"/>
      <c r="AF88" s="4">
        <f t="shared" si="73"/>
        <v>0</v>
      </c>
      <c r="AG88" s="5" t="str">
        <f t="shared" si="74"/>
        <v/>
      </c>
      <c r="AH88" s="4">
        <f t="shared" si="75"/>
        <v>0</v>
      </c>
      <c r="AI88" s="4">
        <f t="shared" si="76"/>
        <v>0</v>
      </c>
      <c r="AJ88" s="4">
        <f t="shared" si="77"/>
        <v>0</v>
      </c>
      <c r="AK88" s="5" t="str">
        <f t="shared" si="78"/>
        <v/>
      </c>
    </row>
    <row r="89" spans="1:37" x14ac:dyDescent="0.25">
      <c r="A89" s="2" t="s">
        <v>95</v>
      </c>
      <c r="B89" s="6">
        <f>(((B85)+(B86))+(B87))+(B88)</f>
        <v>0</v>
      </c>
      <c r="C89" s="6">
        <f>(((C85)+(C86))+(C87))+(C88)</f>
        <v>141.66</v>
      </c>
      <c r="D89" s="6">
        <f t="shared" si="59"/>
        <v>-141.66</v>
      </c>
      <c r="E89" s="7">
        <f t="shared" si="60"/>
        <v>0</v>
      </c>
      <c r="F89" s="6">
        <f>(((F85)+(F86))+(F87))+(F88)</f>
        <v>338.46</v>
      </c>
      <c r="G89" s="6">
        <f>(((G85)+(G86))+(G87))+(G88)</f>
        <v>141.66</v>
      </c>
      <c r="H89" s="6">
        <f t="shared" si="61"/>
        <v>196.79999999999998</v>
      </c>
      <c r="I89" s="7">
        <f t="shared" si="62"/>
        <v>2.3892418466751377</v>
      </c>
      <c r="J89" s="6">
        <f>(((J85)+(J86))+(J87))+(J88)</f>
        <v>0</v>
      </c>
      <c r="K89" s="6">
        <f>(((K85)+(K86))+(K87))+(K88)</f>
        <v>141.66</v>
      </c>
      <c r="L89" s="6">
        <f t="shared" si="63"/>
        <v>-141.66</v>
      </c>
      <c r="M89" s="7">
        <f t="shared" si="64"/>
        <v>0</v>
      </c>
      <c r="N89" s="6">
        <f>(((N85)+(N86))+(N87))+(N88)</f>
        <v>0</v>
      </c>
      <c r="O89" s="6">
        <f>(((O85)+(O86))+(O87))+(O88)</f>
        <v>141.66</v>
      </c>
      <c r="P89" s="6">
        <f t="shared" si="65"/>
        <v>-141.66</v>
      </c>
      <c r="Q89" s="7">
        <f t="shared" si="66"/>
        <v>0</v>
      </c>
      <c r="R89" s="6">
        <f>(((R85)+(R86))+(R87))+(R88)</f>
        <v>0</v>
      </c>
      <c r="S89" s="6">
        <f>(((S85)+(S86))+(S87))+(S88)</f>
        <v>141.66</v>
      </c>
      <c r="T89" s="6">
        <f t="shared" si="67"/>
        <v>-141.66</v>
      </c>
      <c r="U89" s="7">
        <f t="shared" si="68"/>
        <v>0</v>
      </c>
      <c r="V89" s="6">
        <f>(((V85)+(V86))+(V87))+(V88)</f>
        <v>0</v>
      </c>
      <c r="W89" s="6">
        <f>(((W85)+(W86))+(W87))+(W88)</f>
        <v>141.66</v>
      </c>
      <c r="X89" s="6">
        <f t="shared" si="69"/>
        <v>-141.66</v>
      </c>
      <c r="Y89" s="7">
        <f t="shared" si="70"/>
        <v>0</v>
      </c>
      <c r="Z89" s="6">
        <f>(((Z85)+(Z86))+(Z87))+(Z88)</f>
        <v>655.07000000000005</v>
      </c>
      <c r="AA89" s="6">
        <f>(((AA85)+(AA86))+(AA87))+(AA88)</f>
        <v>141.66</v>
      </c>
      <c r="AB89" s="6">
        <f t="shared" si="71"/>
        <v>513.41000000000008</v>
      </c>
      <c r="AC89" s="7">
        <f t="shared" si="72"/>
        <v>4.6242411407595654</v>
      </c>
      <c r="AD89" s="6">
        <f>(((AD85)+(AD86))+(AD87))+(AD88)</f>
        <v>113.8</v>
      </c>
      <c r="AE89" s="6">
        <f>(((AE85)+(AE86))+(AE87))+(AE88)</f>
        <v>141.66</v>
      </c>
      <c r="AF89" s="6">
        <f t="shared" si="73"/>
        <v>-27.86</v>
      </c>
      <c r="AG89" s="7">
        <f t="shared" si="74"/>
        <v>0.80333192150218835</v>
      </c>
      <c r="AH89" s="6">
        <f t="shared" si="75"/>
        <v>1107.33</v>
      </c>
      <c r="AI89" s="6">
        <f t="shared" si="76"/>
        <v>1133.28</v>
      </c>
      <c r="AJ89" s="6">
        <f t="shared" si="77"/>
        <v>-25.950000000000045</v>
      </c>
      <c r="AK89" s="7">
        <f t="shared" si="78"/>
        <v>0.97710186361711138</v>
      </c>
    </row>
    <row r="90" spans="1:37" x14ac:dyDescent="0.25">
      <c r="A90" s="2" t="s">
        <v>96</v>
      </c>
      <c r="B90" s="3"/>
      <c r="C90" s="3"/>
      <c r="D90" s="4">
        <f t="shared" si="59"/>
        <v>0</v>
      </c>
      <c r="E90" s="5" t="str">
        <f t="shared" si="60"/>
        <v/>
      </c>
      <c r="F90" s="3"/>
      <c r="G90" s="3"/>
      <c r="H90" s="4">
        <f t="shared" si="61"/>
        <v>0</v>
      </c>
      <c r="I90" s="5" t="str">
        <f t="shared" si="62"/>
        <v/>
      </c>
      <c r="J90" s="3"/>
      <c r="K90" s="3"/>
      <c r="L90" s="4">
        <f t="shared" si="63"/>
        <v>0</v>
      </c>
      <c r="M90" s="5" t="str">
        <f t="shared" si="64"/>
        <v/>
      </c>
      <c r="N90" s="3"/>
      <c r="O90" s="3"/>
      <c r="P90" s="4">
        <f t="shared" si="65"/>
        <v>0</v>
      </c>
      <c r="Q90" s="5" t="str">
        <f t="shared" si="66"/>
        <v/>
      </c>
      <c r="R90" s="3"/>
      <c r="S90" s="3"/>
      <c r="T90" s="4">
        <f t="shared" si="67"/>
        <v>0</v>
      </c>
      <c r="U90" s="5" t="str">
        <f t="shared" si="68"/>
        <v/>
      </c>
      <c r="V90" s="3"/>
      <c r="W90" s="3"/>
      <c r="X90" s="4">
        <f t="shared" si="69"/>
        <v>0</v>
      </c>
      <c r="Y90" s="5" t="str">
        <f t="shared" si="70"/>
        <v/>
      </c>
      <c r="Z90" s="3"/>
      <c r="AA90" s="3"/>
      <c r="AB90" s="4">
        <f t="shared" si="71"/>
        <v>0</v>
      </c>
      <c r="AC90" s="5" t="str">
        <f t="shared" si="72"/>
        <v/>
      </c>
      <c r="AD90" s="3"/>
      <c r="AE90" s="3"/>
      <c r="AF90" s="4">
        <f t="shared" si="73"/>
        <v>0</v>
      </c>
      <c r="AG90" s="5" t="str">
        <f t="shared" si="74"/>
        <v/>
      </c>
      <c r="AH90" s="4">
        <f t="shared" si="75"/>
        <v>0</v>
      </c>
      <c r="AI90" s="4">
        <f t="shared" si="76"/>
        <v>0</v>
      </c>
      <c r="AJ90" s="4">
        <f t="shared" si="77"/>
        <v>0</v>
      </c>
      <c r="AK90" s="5" t="str">
        <f t="shared" si="78"/>
        <v/>
      </c>
    </row>
    <row r="91" spans="1:37" x14ac:dyDescent="0.25">
      <c r="A91" s="2" t="s">
        <v>97</v>
      </c>
      <c r="B91" s="4">
        <f>1109.88</f>
        <v>1109.8800000000001</v>
      </c>
      <c r="C91" s="4">
        <f>325</f>
        <v>325</v>
      </c>
      <c r="D91" s="4">
        <f t="shared" si="59"/>
        <v>784.88000000000011</v>
      </c>
      <c r="E91" s="5">
        <f t="shared" si="60"/>
        <v>3.4150153846153848</v>
      </c>
      <c r="F91" s="4">
        <f>0</f>
        <v>0</v>
      </c>
      <c r="G91" s="4">
        <f>325</f>
        <v>325</v>
      </c>
      <c r="H91" s="4">
        <f t="shared" si="61"/>
        <v>-325</v>
      </c>
      <c r="I91" s="5">
        <f t="shared" si="62"/>
        <v>0</v>
      </c>
      <c r="J91" s="4">
        <f>0</f>
        <v>0</v>
      </c>
      <c r="K91" s="4">
        <f>325</f>
        <v>325</v>
      </c>
      <c r="L91" s="4">
        <f t="shared" si="63"/>
        <v>-325</v>
      </c>
      <c r="M91" s="5">
        <f t="shared" si="64"/>
        <v>0</v>
      </c>
      <c r="N91" s="4">
        <f>497.25</f>
        <v>497.25</v>
      </c>
      <c r="O91" s="4">
        <f>325</f>
        <v>325</v>
      </c>
      <c r="P91" s="4">
        <f t="shared" si="65"/>
        <v>172.25</v>
      </c>
      <c r="Q91" s="5">
        <f t="shared" si="66"/>
        <v>1.53</v>
      </c>
      <c r="R91" s="4">
        <f>292.5</f>
        <v>292.5</v>
      </c>
      <c r="S91" s="4">
        <f>325</f>
        <v>325</v>
      </c>
      <c r="T91" s="4">
        <f t="shared" si="67"/>
        <v>-32.5</v>
      </c>
      <c r="U91" s="5">
        <f t="shared" si="68"/>
        <v>0.9</v>
      </c>
      <c r="V91" s="4">
        <f>996.13</f>
        <v>996.13</v>
      </c>
      <c r="W91" s="4">
        <f>325</f>
        <v>325</v>
      </c>
      <c r="X91" s="4">
        <f t="shared" si="69"/>
        <v>671.13</v>
      </c>
      <c r="Y91" s="5">
        <f t="shared" si="70"/>
        <v>3.0650153846153847</v>
      </c>
      <c r="Z91" s="4">
        <f>0</f>
        <v>0</v>
      </c>
      <c r="AA91" s="4">
        <f>325</f>
        <v>325</v>
      </c>
      <c r="AB91" s="4">
        <f t="shared" si="71"/>
        <v>-325</v>
      </c>
      <c r="AC91" s="5">
        <f t="shared" si="72"/>
        <v>0</v>
      </c>
      <c r="AD91" s="4">
        <f>0</f>
        <v>0</v>
      </c>
      <c r="AE91" s="4">
        <f>325</f>
        <v>325</v>
      </c>
      <c r="AF91" s="4">
        <f t="shared" si="73"/>
        <v>-325</v>
      </c>
      <c r="AG91" s="5">
        <f t="shared" si="74"/>
        <v>0</v>
      </c>
      <c r="AH91" s="4">
        <f t="shared" si="75"/>
        <v>2895.76</v>
      </c>
      <c r="AI91" s="4">
        <f t="shared" si="76"/>
        <v>2600</v>
      </c>
      <c r="AJ91" s="4">
        <f t="shared" si="77"/>
        <v>295.76000000000022</v>
      </c>
      <c r="AK91" s="5">
        <f t="shared" si="78"/>
        <v>1.1137538461538463</v>
      </c>
    </row>
    <row r="92" spans="1:37" x14ac:dyDescent="0.25">
      <c r="A92" s="2" t="s">
        <v>98</v>
      </c>
      <c r="B92" s="4">
        <f>597.62</f>
        <v>597.62</v>
      </c>
      <c r="C92" s="4">
        <f>175</f>
        <v>175</v>
      </c>
      <c r="D92" s="4">
        <f t="shared" si="59"/>
        <v>422.62</v>
      </c>
      <c r="E92" s="5">
        <f t="shared" si="60"/>
        <v>3.4149714285714285</v>
      </c>
      <c r="F92" s="4">
        <f>0</f>
        <v>0</v>
      </c>
      <c r="G92" s="4">
        <f>175</f>
        <v>175</v>
      </c>
      <c r="H92" s="4">
        <f t="shared" si="61"/>
        <v>-175</v>
      </c>
      <c r="I92" s="5">
        <f t="shared" si="62"/>
        <v>0</v>
      </c>
      <c r="J92" s="4">
        <f>0</f>
        <v>0</v>
      </c>
      <c r="K92" s="4">
        <f>175</f>
        <v>175</v>
      </c>
      <c r="L92" s="4">
        <f t="shared" si="63"/>
        <v>-175</v>
      </c>
      <c r="M92" s="5">
        <f t="shared" si="64"/>
        <v>0</v>
      </c>
      <c r="N92" s="4">
        <f>267.75</f>
        <v>267.75</v>
      </c>
      <c r="O92" s="4">
        <f>175</f>
        <v>175</v>
      </c>
      <c r="P92" s="4">
        <f t="shared" si="65"/>
        <v>92.75</v>
      </c>
      <c r="Q92" s="5">
        <f t="shared" si="66"/>
        <v>1.53</v>
      </c>
      <c r="R92" s="4">
        <f>157.5</f>
        <v>157.5</v>
      </c>
      <c r="S92" s="4">
        <f>175</f>
        <v>175</v>
      </c>
      <c r="T92" s="4">
        <f t="shared" si="67"/>
        <v>-17.5</v>
      </c>
      <c r="U92" s="5">
        <f t="shared" si="68"/>
        <v>0.9</v>
      </c>
      <c r="V92" s="4">
        <f>536.38</f>
        <v>536.38</v>
      </c>
      <c r="W92" s="4">
        <f>175</f>
        <v>175</v>
      </c>
      <c r="X92" s="4">
        <f t="shared" si="69"/>
        <v>361.38</v>
      </c>
      <c r="Y92" s="5">
        <f t="shared" si="70"/>
        <v>3.0650285714285714</v>
      </c>
      <c r="Z92" s="4">
        <f>0</f>
        <v>0</v>
      </c>
      <c r="AA92" s="4">
        <f>175</f>
        <v>175</v>
      </c>
      <c r="AB92" s="4">
        <f t="shared" si="71"/>
        <v>-175</v>
      </c>
      <c r="AC92" s="5">
        <f t="shared" si="72"/>
        <v>0</v>
      </c>
      <c r="AD92" s="4">
        <f>0</f>
        <v>0</v>
      </c>
      <c r="AE92" s="4">
        <f>175</f>
        <v>175</v>
      </c>
      <c r="AF92" s="4">
        <f t="shared" si="73"/>
        <v>-175</v>
      </c>
      <c r="AG92" s="5">
        <f t="shared" si="74"/>
        <v>0</v>
      </c>
      <c r="AH92" s="4">
        <f t="shared" si="75"/>
        <v>1559.25</v>
      </c>
      <c r="AI92" s="4">
        <f t="shared" si="76"/>
        <v>1400</v>
      </c>
      <c r="AJ92" s="4">
        <f t="shared" si="77"/>
        <v>159.25</v>
      </c>
      <c r="AK92" s="5">
        <f t="shared" si="78"/>
        <v>1.11375</v>
      </c>
    </row>
    <row r="93" spans="1:37" x14ac:dyDescent="0.25">
      <c r="A93" s="2" t="s">
        <v>99</v>
      </c>
      <c r="B93" s="4">
        <f>0</f>
        <v>0</v>
      </c>
      <c r="C93" s="3"/>
      <c r="D93" s="4">
        <f t="shared" si="59"/>
        <v>0</v>
      </c>
      <c r="E93" s="5" t="str">
        <f t="shared" si="60"/>
        <v/>
      </c>
      <c r="F93" s="4">
        <f>0</f>
        <v>0</v>
      </c>
      <c r="G93" s="3"/>
      <c r="H93" s="4">
        <f t="shared" si="61"/>
        <v>0</v>
      </c>
      <c r="I93" s="5" t="str">
        <f t="shared" si="62"/>
        <v/>
      </c>
      <c r="J93" s="4">
        <f>0</f>
        <v>0</v>
      </c>
      <c r="K93" s="3"/>
      <c r="L93" s="4">
        <f t="shared" si="63"/>
        <v>0</v>
      </c>
      <c r="M93" s="5" t="str">
        <f t="shared" si="64"/>
        <v/>
      </c>
      <c r="N93" s="4">
        <f>0</f>
        <v>0</v>
      </c>
      <c r="O93" s="3"/>
      <c r="P93" s="4">
        <f t="shared" si="65"/>
        <v>0</v>
      </c>
      <c r="Q93" s="5" t="str">
        <f t="shared" si="66"/>
        <v/>
      </c>
      <c r="R93" s="4">
        <f>0</f>
        <v>0</v>
      </c>
      <c r="S93" s="3"/>
      <c r="T93" s="4">
        <f t="shared" si="67"/>
        <v>0</v>
      </c>
      <c r="U93" s="5" t="str">
        <f t="shared" si="68"/>
        <v/>
      </c>
      <c r="V93" s="4">
        <f>0</f>
        <v>0</v>
      </c>
      <c r="W93" s="3"/>
      <c r="X93" s="4">
        <f t="shared" si="69"/>
        <v>0</v>
      </c>
      <c r="Y93" s="5" t="str">
        <f t="shared" si="70"/>
        <v/>
      </c>
      <c r="Z93" s="4">
        <f>0</f>
        <v>0</v>
      </c>
      <c r="AA93" s="3"/>
      <c r="AB93" s="4">
        <f t="shared" si="71"/>
        <v>0</v>
      </c>
      <c r="AC93" s="5" t="str">
        <f t="shared" si="72"/>
        <v/>
      </c>
      <c r="AD93" s="4">
        <f>0.01</f>
        <v>0.01</v>
      </c>
      <c r="AE93" s="3"/>
      <c r="AF93" s="4">
        <f t="shared" si="73"/>
        <v>0.01</v>
      </c>
      <c r="AG93" s="5" t="str">
        <f t="shared" si="74"/>
        <v/>
      </c>
      <c r="AH93" s="4">
        <f t="shared" si="75"/>
        <v>0.01</v>
      </c>
      <c r="AI93" s="4">
        <f t="shared" si="76"/>
        <v>0</v>
      </c>
      <c r="AJ93" s="4">
        <f t="shared" si="77"/>
        <v>0.01</v>
      </c>
      <c r="AK93" s="5" t="str">
        <f t="shared" si="78"/>
        <v/>
      </c>
    </row>
    <row r="94" spans="1:37" x14ac:dyDescent="0.25">
      <c r="A94" s="2" t="s">
        <v>100</v>
      </c>
      <c r="B94" s="6">
        <f>(((B90)+(B91))+(B92))+(B93)</f>
        <v>1707.5</v>
      </c>
      <c r="C94" s="6">
        <f>(((C90)+(C91))+(C92))+(C93)</f>
        <v>500</v>
      </c>
      <c r="D94" s="6">
        <f t="shared" si="59"/>
        <v>1207.5</v>
      </c>
      <c r="E94" s="7">
        <f t="shared" si="60"/>
        <v>3.415</v>
      </c>
      <c r="F94" s="6">
        <f>(((F90)+(F91))+(F92))+(F93)</f>
        <v>0</v>
      </c>
      <c r="G94" s="6">
        <f>(((G90)+(G91))+(G92))+(G93)</f>
        <v>500</v>
      </c>
      <c r="H94" s="6">
        <f t="shared" si="61"/>
        <v>-500</v>
      </c>
      <c r="I94" s="7">
        <f t="shared" si="62"/>
        <v>0</v>
      </c>
      <c r="J94" s="6">
        <f>(((J90)+(J91))+(J92))+(J93)</f>
        <v>0</v>
      </c>
      <c r="K94" s="6">
        <f>(((K90)+(K91))+(K92))+(K93)</f>
        <v>500</v>
      </c>
      <c r="L94" s="6">
        <f t="shared" si="63"/>
        <v>-500</v>
      </c>
      <c r="M94" s="7">
        <f t="shared" si="64"/>
        <v>0</v>
      </c>
      <c r="N94" s="6">
        <f>(((N90)+(N91))+(N92))+(N93)</f>
        <v>765</v>
      </c>
      <c r="O94" s="6">
        <f>(((O90)+(O91))+(O92))+(O93)</f>
        <v>500</v>
      </c>
      <c r="P94" s="6">
        <f t="shared" si="65"/>
        <v>265</v>
      </c>
      <c r="Q94" s="7">
        <f t="shared" si="66"/>
        <v>1.53</v>
      </c>
      <c r="R94" s="6">
        <f>(((R90)+(R91))+(R92))+(R93)</f>
        <v>450</v>
      </c>
      <c r="S94" s="6">
        <f>(((S90)+(S91))+(S92))+(S93)</f>
        <v>500</v>
      </c>
      <c r="T94" s="6">
        <f t="shared" si="67"/>
        <v>-50</v>
      </c>
      <c r="U94" s="7">
        <f t="shared" si="68"/>
        <v>0.9</v>
      </c>
      <c r="V94" s="6">
        <f>(((V90)+(V91))+(V92))+(V93)</f>
        <v>1532.51</v>
      </c>
      <c r="W94" s="6">
        <f>(((W90)+(W91))+(W92))+(W93)</f>
        <v>500</v>
      </c>
      <c r="X94" s="6">
        <f t="shared" si="69"/>
        <v>1032.51</v>
      </c>
      <c r="Y94" s="7">
        <f t="shared" si="70"/>
        <v>3.0650200000000001</v>
      </c>
      <c r="Z94" s="6">
        <f>(((Z90)+(Z91))+(Z92))+(Z93)</f>
        <v>0</v>
      </c>
      <c r="AA94" s="6">
        <f>(((AA90)+(AA91))+(AA92))+(AA93)</f>
        <v>500</v>
      </c>
      <c r="AB94" s="6">
        <f t="shared" si="71"/>
        <v>-500</v>
      </c>
      <c r="AC94" s="7">
        <f t="shared" si="72"/>
        <v>0</v>
      </c>
      <c r="AD94" s="6">
        <f>(((AD90)+(AD91))+(AD92))+(AD93)</f>
        <v>0.01</v>
      </c>
      <c r="AE94" s="6">
        <f>(((AE90)+(AE91))+(AE92))+(AE93)</f>
        <v>500</v>
      </c>
      <c r="AF94" s="6">
        <f t="shared" si="73"/>
        <v>-499.99</v>
      </c>
      <c r="AG94" s="7">
        <f t="shared" si="74"/>
        <v>2.0000000000000002E-5</v>
      </c>
      <c r="AH94" s="6">
        <f t="shared" si="75"/>
        <v>4455.0200000000004</v>
      </c>
      <c r="AI94" s="6">
        <f t="shared" si="76"/>
        <v>4000</v>
      </c>
      <c r="AJ94" s="6">
        <f t="shared" si="77"/>
        <v>455.02000000000044</v>
      </c>
      <c r="AK94" s="7">
        <f t="shared" si="78"/>
        <v>1.1137550000000001</v>
      </c>
    </row>
    <row r="95" spans="1:37" x14ac:dyDescent="0.25">
      <c r="A95" s="2" t="s">
        <v>101</v>
      </c>
      <c r="B95" s="3"/>
      <c r="C95" s="3"/>
      <c r="D95" s="4">
        <f t="shared" si="59"/>
        <v>0</v>
      </c>
      <c r="E95" s="5" t="str">
        <f t="shared" si="60"/>
        <v/>
      </c>
      <c r="F95" s="3"/>
      <c r="G95" s="3"/>
      <c r="H95" s="4">
        <f t="shared" si="61"/>
        <v>0</v>
      </c>
      <c r="I95" s="5" t="str">
        <f t="shared" si="62"/>
        <v/>
      </c>
      <c r="J95" s="3"/>
      <c r="K95" s="3"/>
      <c r="L95" s="4">
        <f t="shared" si="63"/>
        <v>0</v>
      </c>
      <c r="M95" s="5" t="str">
        <f t="shared" si="64"/>
        <v/>
      </c>
      <c r="N95" s="3"/>
      <c r="O95" s="3"/>
      <c r="P95" s="4">
        <f t="shared" si="65"/>
        <v>0</v>
      </c>
      <c r="Q95" s="5" t="str">
        <f t="shared" si="66"/>
        <v/>
      </c>
      <c r="R95" s="3"/>
      <c r="S95" s="3"/>
      <c r="T95" s="4">
        <f t="shared" si="67"/>
        <v>0</v>
      </c>
      <c r="U95" s="5" t="str">
        <f t="shared" si="68"/>
        <v/>
      </c>
      <c r="V95" s="3"/>
      <c r="W95" s="3"/>
      <c r="X95" s="4">
        <f t="shared" si="69"/>
        <v>0</v>
      </c>
      <c r="Y95" s="5" t="str">
        <f t="shared" si="70"/>
        <v/>
      </c>
      <c r="Z95" s="3"/>
      <c r="AA95" s="3"/>
      <c r="AB95" s="4">
        <f t="shared" si="71"/>
        <v>0</v>
      </c>
      <c r="AC95" s="5" t="str">
        <f t="shared" si="72"/>
        <v/>
      </c>
      <c r="AD95" s="3"/>
      <c r="AE95" s="3"/>
      <c r="AF95" s="4">
        <f t="shared" si="73"/>
        <v>0</v>
      </c>
      <c r="AG95" s="5" t="str">
        <f t="shared" si="74"/>
        <v/>
      </c>
      <c r="AH95" s="4">
        <f t="shared" si="75"/>
        <v>0</v>
      </c>
      <c r="AI95" s="4">
        <f t="shared" si="76"/>
        <v>0</v>
      </c>
      <c r="AJ95" s="4">
        <f t="shared" si="77"/>
        <v>0</v>
      </c>
      <c r="AK95" s="5" t="str">
        <f t="shared" si="78"/>
        <v/>
      </c>
    </row>
    <row r="96" spans="1:37" x14ac:dyDescent="0.25">
      <c r="A96" s="2" t="s">
        <v>102</v>
      </c>
      <c r="B96" s="3"/>
      <c r="C96" s="4">
        <f>270.83</f>
        <v>270.83</v>
      </c>
      <c r="D96" s="4">
        <f t="shared" si="59"/>
        <v>-270.83</v>
      </c>
      <c r="E96" s="5">
        <f t="shared" si="60"/>
        <v>0</v>
      </c>
      <c r="F96" s="3"/>
      <c r="G96" s="4">
        <f>270.83</f>
        <v>270.83</v>
      </c>
      <c r="H96" s="4">
        <f t="shared" si="61"/>
        <v>-270.83</v>
      </c>
      <c r="I96" s="5">
        <f t="shared" si="62"/>
        <v>0</v>
      </c>
      <c r="J96" s="3"/>
      <c r="K96" s="4">
        <f>270.83</f>
        <v>270.83</v>
      </c>
      <c r="L96" s="4">
        <f t="shared" si="63"/>
        <v>-270.83</v>
      </c>
      <c r="M96" s="5">
        <f t="shared" si="64"/>
        <v>0</v>
      </c>
      <c r="N96" s="3"/>
      <c r="O96" s="4">
        <f>270.83</f>
        <v>270.83</v>
      </c>
      <c r="P96" s="4">
        <f t="shared" si="65"/>
        <v>-270.83</v>
      </c>
      <c r="Q96" s="5">
        <f t="shared" si="66"/>
        <v>0</v>
      </c>
      <c r="R96" s="3"/>
      <c r="S96" s="4">
        <f>270.83</f>
        <v>270.83</v>
      </c>
      <c r="T96" s="4">
        <f t="shared" si="67"/>
        <v>-270.83</v>
      </c>
      <c r="U96" s="5">
        <f t="shared" si="68"/>
        <v>0</v>
      </c>
      <c r="V96" s="3"/>
      <c r="W96" s="4">
        <f>270.83</f>
        <v>270.83</v>
      </c>
      <c r="X96" s="4">
        <f t="shared" si="69"/>
        <v>-270.83</v>
      </c>
      <c r="Y96" s="5">
        <f t="shared" si="70"/>
        <v>0</v>
      </c>
      <c r="Z96" s="3"/>
      <c r="AA96" s="4">
        <f>270.83</f>
        <v>270.83</v>
      </c>
      <c r="AB96" s="4">
        <f t="shared" si="71"/>
        <v>-270.83</v>
      </c>
      <c r="AC96" s="5">
        <f t="shared" si="72"/>
        <v>0</v>
      </c>
      <c r="AD96" s="3"/>
      <c r="AE96" s="4">
        <f>270.83</f>
        <v>270.83</v>
      </c>
      <c r="AF96" s="4">
        <f t="shared" si="73"/>
        <v>-270.83</v>
      </c>
      <c r="AG96" s="5">
        <f t="shared" si="74"/>
        <v>0</v>
      </c>
      <c r="AH96" s="4">
        <f t="shared" si="75"/>
        <v>0</v>
      </c>
      <c r="AI96" s="4">
        <f t="shared" si="76"/>
        <v>2166.64</v>
      </c>
      <c r="AJ96" s="4">
        <f t="shared" si="77"/>
        <v>-2166.64</v>
      </c>
      <c r="AK96" s="5">
        <f t="shared" si="78"/>
        <v>0</v>
      </c>
    </row>
    <row r="97" spans="1:37" x14ac:dyDescent="0.25">
      <c r="A97" s="2" t="s">
        <v>103</v>
      </c>
      <c r="B97" s="3"/>
      <c r="C97" s="4">
        <f>145.83</f>
        <v>145.83000000000001</v>
      </c>
      <c r="D97" s="4">
        <f t="shared" si="59"/>
        <v>-145.83000000000001</v>
      </c>
      <c r="E97" s="5">
        <f t="shared" si="60"/>
        <v>0</v>
      </c>
      <c r="F97" s="3"/>
      <c r="G97" s="4">
        <f>145.83</f>
        <v>145.83000000000001</v>
      </c>
      <c r="H97" s="4">
        <f t="shared" si="61"/>
        <v>-145.83000000000001</v>
      </c>
      <c r="I97" s="5">
        <f t="shared" si="62"/>
        <v>0</v>
      </c>
      <c r="J97" s="3"/>
      <c r="K97" s="4">
        <f>145.83</f>
        <v>145.83000000000001</v>
      </c>
      <c r="L97" s="4">
        <f t="shared" si="63"/>
        <v>-145.83000000000001</v>
      </c>
      <c r="M97" s="5">
        <f t="shared" si="64"/>
        <v>0</v>
      </c>
      <c r="N97" s="3"/>
      <c r="O97" s="4">
        <f>145.83</f>
        <v>145.83000000000001</v>
      </c>
      <c r="P97" s="4">
        <f t="shared" si="65"/>
        <v>-145.83000000000001</v>
      </c>
      <c r="Q97" s="5">
        <f t="shared" si="66"/>
        <v>0</v>
      </c>
      <c r="R97" s="3"/>
      <c r="S97" s="4">
        <f>145.83</f>
        <v>145.83000000000001</v>
      </c>
      <c r="T97" s="4">
        <f t="shared" si="67"/>
        <v>-145.83000000000001</v>
      </c>
      <c r="U97" s="5">
        <f t="shared" si="68"/>
        <v>0</v>
      </c>
      <c r="V97" s="3"/>
      <c r="W97" s="4">
        <f>145.83</f>
        <v>145.83000000000001</v>
      </c>
      <c r="X97" s="4">
        <f t="shared" si="69"/>
        <v>-145.83000000000001</v>
      </c>
      <c r="Y97" s="5">
        <f t="shared" si="70"/>
        <v>0</v>
      </c>
      <c r="Z97" s="3"/>
      <c r="AA97" s="4">
        <f>145.83</f>
        <v>145.83000000000001</v>
      </c>
      <c r="AB97" s="4">
        <f t="shared" si="71"/>
        <v>-145.83000000000001</v>
      </c>
      <c r="AC97" s="5">
        <f t="shared" si="72"/>
        <v>0</v>
      </c>
      <c r="AD97" s="3"/>
      <c r="AE97" s="4">
        <f>145.83</f>
        <v>145.83000000000001</v>
      </c>
      <c r="AF97" s="4">
        <f t="shared" si="73"/>
        <v>-145.83000000000001</v>
      </c>
      <c r="AG97" s="5">
        <f t="shared" si="74"/>
        <v>0</v>
      </c>
      <c r="AH97" s="4">
        <f t="shared" si="75"/>
        <v>0</v>
      </c>
      <c r="AI97" s="4">
        <f t="shared" si="76"/>
        <v>1166.6400000000001</v>
      </c>
      <c r="AJ97" s="4">
        <f t="shared" si="77"/>
        <v>-1166.6400000000001</v>
      </c>
      <c r="AK97" s="5">
        <f t="shared" si="78"/>
        <v>0</v>
      </c>
    </row>
    <row r="98" spans="1:37" x14ac:dyDescent="0.25">
      <c r="A98" s="2" t="s">
        <v>104</v>
      </c>
      <c r="B98" s="6">
        <f>((B95)+(B96))+(B97)</f>
        <v>0</v>
      </c>
      <c r="C98" s="6">
        <f>((C95)+(C96))+(C97)</f>
        <v>416.65999999999997</v>
      </c>
      <c r="D98" s="6">
        <f t="shared" si="59"/>
        <v>-416.65999999999997</v>
      </c>
      <c r="E98" s="7">
        <f t="shared" si="60"/>
        <v>0</v>
      </c>
      <c r="F98" s="6">
        <f>((F95)+(F96))+(F97)</f>
        <v>0</v>
      </c>
      <c r="G98" s="6">
        <f>((G95)+(G96))+(G97)</f>
        <v>416.65999999999997</v>
      </c>
      <c r="H98" s="6">
        <f t="shared" si="61"/>
        <v>-416.65999999999997</v>
      </c>
      <c r="I98" s="7">
        <f t="shared" si="62"/>
        <v>0</v>
      </c>
      <c r="J98" s="6">
        <f>((J95)+(J96))+(J97)</f>
        <v>0</v>
      </c>
      <c r="K98" s="6">
        <f>((K95)+(K96))+(K97)</f>
        <v>416.65999999999997</v>
      </c>
      <c r="L98" s="6">
        <f t="shared" si="63"/>
        <v>-416.65999999999997</v>
      </c>
      <c r="M98" s="7">
        <f t="shared" si="64"/>
        <v>0</v>
      </c>
      <c r="N98" s="6">
        <f>((N95)+(N96))+(N97)</f>
        <v>0</v>
      </c>
      <c r="O98" s="6">
        <f>((O95)+(O96))+(O97)</f>
        <v>416.65999999999997</v>
      </c>
      <c r="P98" s="6">
        <f t="shared" si="65"/>
        <v>-416.65999999999997</v>
      </c>
      <c r="Q98" s="7">
        <f t="shared" si="66"/>
        <v>0</v>
      </c>
      <c r="R98" s="6">
        <f>((R95)+(R96))+(R97)</f>
        <v>0</v>
      </c>
      <c r="S98" s="6">
        <f>((S95)+(S96))+(S97)</f>
        <v>416.65999999999997</v>
      </c>
      <c r="T98" s="6">
        <f t="shared" si="67"/>
        <v>-416.65999999999997</v>
      </c>
      <c r="U98" s="7">
        <f t="shared" si="68"/>
        <v>0</v>
      </c>
      <c r="V98" s="6">
        <f>((V95)+(V96))+(V97)</f>
        <v>0</v>
      </c>
      <c r="W98" s="6">
        <f>((W95)+(W96))+(W97)</f>
        <v>416.65999999999997</v>
      </c>
      <c r="X98" s="6">
        <f t="shared" si="69"/>
        <v>-416.65999999999997</v>
      </c>
      <c r="Y98" s="7">
        <f t="shared" si="70"/>
        <v>0</v>
      </c>
      <c r="Z98" s="6">
        <f>((Z95)+(Z96))+(Z97)</f>
        <v>0</v>
      </c>
      <c r="AA98" s="6">
        <f>((AA95)+(AA96))+(AA97)</f>
        <v>416.65999999999997</v>
      </c>
      <c r="AB98" s="6">
        <f t="shared" si="71"/>
        <v>-416.65999999999997</v>
      </c>
      <c r="AC98" s="7">
        <f t="shared" si="72"/>
        <v>0</v>
      </c>
      <c r="AD98" s="6">
        <f>((AD95)+(AD96))+(AD97)</f>
        <v>0</v>
      </c>
      <c r="AE98" s="6">
        <f>((AE95)+(AE96))+(AE97)</f>
        <v>416.65999999999997</v>
      </c>
      <c r="AF98" s="6">
        <f t="shared" si="73"/>
        <v>-416.65999999999997</v>
      </c>
      <c r="AG98" s="7">
        <f t="shared" si="74"/>
        <v>0</v>
      </c>
      <c r="AH98" s="6">
        <f t="shared" si="75"/>
        <v>0</v>
      </c>
      <c r="AI98" s="6">
        <f t="shared" si="76"/>
        <v>3333.2799999999993</v>
      </c>
      <c r="AJ98" s="6">
        <f t="shared" si="77"/>
        <v>-3333.2799999999993</v>
      </c>
      <c r="AK98" s="7">
        <f t="shared" si="78"/>
        <v>0</v>
      </c>
    </row>
    <row r="99" spans="1:37" x14ac:dyDescent="0.25">
      <c r="A99" s="2" t="s">
        <v>105</v>
      </c>
      <c r="B99" s="3"/>
      <c r="C99" s="3"/>
      <c r="D99" s="4">
        <f t="shared" si="59"/>
        <v>0</v>
      </c>
      <c r="E99" s="5" t="str">
        <f t="shared" si="60"/>
        <v/>
      </c>
      <c r="F99" s="3"/>
      <c r="G99" s="3"/>
      <c r="H99" s="4">
        <f t="shared" si="61"/>
        <v>0</v>
      </c>
      <c r="I99" s="5" t="str">
        <f t="shared" si="62"/>
        <v/>
      </c>
      <c r="J99" s="3"/>
      <c r="K99" s="3"/>
      <c r="L99" s="4">
        <f t="shared" si="63"/>
        <v>0</v>
      </c>
      <c r="M99" s="5" t="str">
        <f t="shared" si="64"/>
        <v/>
      </c>
      <c r="N99" s="3"/>
      <c r="O99" s="3"/>
      <c r="P99" s="4">
        <f t="shared" si="65"/>
        <v>0</v>
      </c>
      <c r="Q99" s="5" t="str">
        <f t="shared" si="66"/>
        <v/>
      </c>
      <c r="R99" s="3"/>
      <c r="S99" s="3"/>
      <c r="T99" s="4">
        <f t="shared" si="67"/>
        <v>0</v>
      </c>
      <c r="U99" s="5" t="str">
        <f t="shared" si="68"/>
        <v/>
      </c>
      <c r="V99" s="3"/>
      <c r="W99" s="3"/>
      <c r="X99" s="4">
        <f t="shared" si="69"/>
        <v>0</v>
      </c>
      <c r="Y99" s="5" t="str">
        <f t="shared" si="70"/>
        <v/>
      </c>
      <c r="Z99" s="3"/>
      <c r="AA99" s="3"/>
      <c r="AB99" s="4">
        <f t="shared" si="71"/>
        <v>0</v>
      </c>
      <c r="AC99" s="5" t="str">
        <f t="shared" si="72"/>
        <v/>
      </c>
      <c r="AD99" s="3"/>
      <c r="AE99" s="3"/>
      <c r="AF99" s="4">
        <f t="shared" si="73"/>
        <v>0</v>
      </c>
      <c r="AG99" s="5" t="str">
        <f t="shared" si="74"/>
        <v/>
      </c>
      <c r="AH99" s="4">
        <f t="shared" si="75"/>
        <v>0</v>
      </c>
      <c r="AI99" s="4">
        <f t="shared" si="76"/>
        <v>0</v>
      </c>
      <c r="AJ99" s="4">
        <f t="shared" si="77"/>
        <v>0</v>
      </c>
      <c r="AK99" s="5" t="str">
        <f t="shared" si="78"/>
        <v/>
      </c>
    </row>
    <row r="100" spans="1:37" x14ac:dyDescent="0.25">
      <c r="A100" s="2" t="s">
        <v>106</v>
      </c>
      <c r="B100" s="3"/>
      <c r="C100" s="4">
        <f>1083.33</f>
        <v>1083.33</v>
      </c>
      <c r="D100" s="4">
        <f t="shared" si="59"/>
        <v>-1083.33</v>
      </c>
      <c r="E100" s="5">
        <f t="shared" si="60"/>
        <v>0</v>
      </c>
      <c r="F100" s="3"/>
      <c r="G100" s="4">
        <f>1083.33</f>
        <v>1083.33</v>
      </c>
      <c r="H100" s="4">
        <f t="shared" si="61"/>
        <v>-1083.33</v>
      </c>
      <c r="I100" s="5">
        <f t="shared" si="62"/>
        <v>0</v>
      </c>
      <c r="J100" s="4">
        <f>1334.78</f>
        <v>1334.78</v>
      </c>
      <c r="K100" s="4">
        <f>1083.33</f>
        <v>1083.33</v>
      </c>
      <c r="L100" s="4">
        <f t="shared" si="63"/>
        <v>251.45000000000005</v>
      </c>
      <c r="M100" s="5">
        <f t="shared" si="64"/>
        <v>1.2321084064874046</v>
      </c>
      <c r="N100" s="4">
        <f>2622.11</f>
        <v>2622.11</v>
      </c>
      <c r="O100" s="4">
        <f>1083.33</f>
        <v>1083.33</v>
      </c>
      <c r="P100" s="4">
        <f t="shared" si="65"/>
        <v>1538.7800000000002</v>
      </c>
      <c r="Q100" s="5">
        <f t="shared" si="66"/>
        <v>2.4204166782051639</v>
      </c>
      <c r="R100" s="4">
        <f>1489.1</f>
        <v>1489.1</v>
      </c>
      <c r="S100" s="4">
        <f>1083.33</f>
        <v>1083.33</v>
      </c>
      <c r="T100" s="4">
        <f t="shared" si="67"/>
        <v>405.77</v>
      </c>
      <c r="U100" s="5">
        <f t="shared" si="68"/>
        <v>1.3745580755633093</v>
      </c>
      <c r="V100" s="4">
        <f>4187.52</f>
        <v>4187.5200000000004</v>
      </c>
      <c r="W100" s="4">
        <f>1083.33</f>
        <v>1083.33</v>
      </c>
      <c r="X100" s="4">
        <f t="shared" si="69"/>
        <v>3104.1900000000005</v>
      </c>
      <c r="Y100" s="5">
        <f t="shared" si="70"/>
        <v>3.8654149705076022</v>
      </c>
      <c r="Z100" s="4">
        <f>944.18</f>
        <v>944.18</v>
      </c>
      <c r="AA100" s="4">
        <f>1083.33</f>
        <v>1083.33</v>
      </c>
      <c r="AB100" s="4">
        <f t="shared" si="71"/>
        <v>-139.14999999999998</v>
      </c>
      <c r="AC100" s="5">
        <f t="shared" si="72"/>
        <v>0.87155345093369518</v>
      </c>
      <c r="AD100" s="4">
        <f>0</f>
        <v>0</v>
      </c>
      <c r="AE100" s="4">
        <f>1083.33</f>
        <v>1083.33</v>
      </c>
      <c r="AF100" s="4">
        <f t="shared" si="73"/>
        <v>-1083.33</v>
      </c>
      <c r="AG100" s="5">
        <f t="shared" si="74"/>
        <v>0</v>
      </c>
      <c r="AH100" s="4">
        <f t="shared" si="75"/>
        <v>10577.69</v>
      </c>
      <c r="AI100" s="4">
        <f t="shared" si="76"/>
        <v>8666.64</v>
      </c>
      <c r="AJ100" s="4">
        <f t="shared" si="77"/>
        <v>1911.0500000000011</v>
      </c>
      <c r="AK100" s="5">
        <f t="shared" si="78"/>
        <v>1.220506447712147</v>
      </c>
    </row>
    <row r="101" spans="1:37" x14ac:dyDescent="0.25">
      <c r="A101" s="2" t="s">
        <v>107</v>
      </c>
      <c r="B101" s="3"/>
      <c r="C101" s="4">
        <f>583.33</f>
        <v>583.33000000000004</v>
      </c>
      <c r="D101" s="4">
        <f t="shared" si="59"/>
        <v>-583.33000000000004</v>
      </c>
      <c r="E101" s="5">
        <f t="shared" si="60"/>
        <v>0</v>
      </c>
      <c r="F101" s="3"/>
      <c r="G101" s="4">
        <f>583.33</f>
        <v>583.33000000000004</v>
      </c>
      <c r="H101" s="4">
        <f t="shared" si="61"/>
        <v>-583.33000000000004</v>
      </c>
      <c r="I101" s="5">
        <f t="shared" si="62"/>
        <v>0</v>
      </c>
      <c r="J101" s="4">
        <f>718.72</f>
        <v>718.72</v>
      </c>
      <c r="K101" s="4">
        <f>583.33</f>
        <v>583.33000000000004</v>
      </c>
      <c r="L101" s="4">
        <f t="shared" si="63"/>
        <v>135.38999999999999</v>
      </c>
      <c r="M101" s="5">
        <f t="shared" si="64"/>
        <v>1.2320984691341093</v>
      </c>
      <c r="N101" s="4">
        <f>1411.91</f>
        <v>1411.91</v>
      </c>
      <c r="O101" s="4">
        <f>583.33</f>
        <v>583.33000000000004</v>
      </c>
      <c r="P101" s="4">
        <f t="shared" si="65"/>
        <v>828.58</v>
      </c>
      <c r="Q101" s="5">
        <f t="shared" si="66"/>
        <v>2.4204309738912793</v>
      </c>
      <c r="R101" s="4">
        <f>801.82</f>
        <v>801.82</v>
      </c>
      <c r="S101" s="4">
        <f>583.33</f>
        <v>583.33000000000004</v>
      </c>
      <c r="T101" s="4">
        <f t="shared" si="67"/>
        <v>218.49</v>
      </c>
      <c r="U101" s="5">
        <f t="shared" si="68"/>
        <v>1.3745564260367202</v>
      </c>
      <c r="V101" s="4">
        <f>2254.82</f>
        <v>2254.8200000000002</v>
      </c>
      <c r="W101" s="4">
        <f>583.33</f>
        <v>583.33000000000004</v>
      </c>
      <c r="X101" s="4">
        <f t="shared" si="69"/>
        <v>1671.4900000000002</v>
      </c>
      <c r="Y101" s="5">
        <f t="shared" si="70"/>
        <v>3.8654278024445854</v>
      </c>
      <c r="Z101" s="4">
        <f>508.41</f>
        <v>508.41</v>
      </c>
      <c r="AA101" s="4">
        <f>583.33</f>
        <v>583.33000000000004</v>
      </c>
      <c r="AB101" s="4">
        <f t="shared" si="71"/>
        <v>-74.920000000000016</v>
      </c>
      <c r="AC101" s="5">
        <f t="shared" si="72"/>
        <v>0.87156498037131636</v>
      </c>
      <c r="AD101" s="4">
        <f>0</f>
        <v>0</v>
      </c>
      <c r="AE101" s="4">
        <f>583.33</f>
        <v>583.33000000000004</v>
      </c>
      <c r="AF101" s="4">
        <f t="shared" si="73"/>
        <v>-583.33000000000004</v>
      </c>
      <c r="AG101" s="5">
        <f t="shared" si="74"/>
        <v>0</v>
      </c>
      <c r="AH101" s="4">
        <f t="shared" si="75"/>
        <v>5695.68</v>
      </c>
      <c r="AI101" s="4">
        <f t="shared" si="76"/>
        <v>4666.6400000000003</v>
      </c>
      <c r="AJ101" s="4">
        <f t="shared" si="77"/>
        <v>1029.04</v>
      </c>
      <c r="AK101" s="5">
        <f t="shared" si="78"/>
        <v>1.2205098314847513</v>
      </c>
    </row>
    <row r="102" spans="1:37" x14ac:dyDescent="0.25">
      <c r="A102" s="2" t="s">
        <v>108</v>
      </c>
      <c r="B102" s="3"/>
      <c r="C102" s="3"/>
      <c r="D102" s="4">
        <f t="shared" si="59"/>
        <v>0</v>
      </c>
      <c r="E102" s="5" t="str">
        <f t="shared" si="60"/>
        <v/>
      </c>
      <c r="F102" s="3"/>
      <c r="G102" s="3"/>
      <c r="H102" s="4">
        <f t="shared" si="61"/>
        <v>0</v>
      </c>
      <c r="I102" s="5" t="str">
        <f t="shared" si="62"/>
        <v/>
      </c>
      <c r="J102" s="4">
        <f>0</f>
        <v>0</v>
      </c>
      <c r="K102" s="3"/>
      <c r="L102" s="4">
        <f t="shared" si="63"/>
        <v>0</v>
      </c>
      <c r="M102" s="5" t="str">
        <f t="shared" si="64"/>
        <v/>
      </c>
      <c r="N102" s="4">
        <f>0</f>
        <v>0</v>
      </c>
      <c r="O102" s="3"/>
      <c r="P102" s="4">
        <f t="shared" si="65"/>
        <v>0</v>
      </c>
      <c r="Q102" s="5" t="str">
        <f t="shared" si="66"/>
        <v/>
      </c>
      <c r="R102" s="4">
        <f>0</f>
        <v>0</v>
      </c>
      <c r="S102" s="3"/>
      <c r="T102" s="4">
        <f t="shared" si="67"/>
        <v>0</v>
      </c>
      <c r="U102" s="5" t="str">
        <f t="shared" si="68"/>
        <v/>
      </c>
      <c r="V102" s="4">
        <f>-0.02</f>
        <v>-0.02</v>
      </c>
      <c r="W102" s="3"/>
      <c r="X102" s="4">
        <f t="shared" si="69"/>
        <v>-0.02</v>
      </c>
      <c r="Y102" s="5" t="str">
        <f t="shared" si="70"/>
        <v/>
      </c>
      <c r="Z102" s="4">
        <f>0</f>
        <v>0</v>
      </c>
      <c r="AA102" s="3"/>
      <c r="AB102" s="4">
        <f t="shared" si="71"/>
        <v>0</v>
      </c>
      <c r="AC102" s="5" t="str">
        <f t="shared" si="72"/>
        <v/>
      </c>
      <c r="AD102" s="4">
        <f>0</f>
        <v>0</v>
      </c>
      <c r="AE102" s="3"/>
      <c r="AF102" s="4">
        <f t="shared" si="73"/>
        <v>0</v>
      </c>
      <c r="AG102" s="5" t="str">
        <f t="shared" si="74"/>
        <v/>
      </c>
      <c r="AH102" s="4">
        <f t="shared" si="75"/>
        <v>-0.02</v>
      </c>
      <c r="AI102" s="4">
        <f t="shared" si="76"/>
        <v>0</v>
      </c>
      <c r="AJ102" s="4">
        <f t="shared" si="77"/>
        <v>-0.02</v>
      </c>
      <c r="AK102" s="5" t="str">
        <f t="shared" si="78"/>
        <v/>
      </c>
    </row>
    <row r="103" spans="1:37" x14ac:dyDescent="0.25">
      <c r="A103" s="2" t="s">
        <v>109</v>
      </c>
      <c r="B103" s="6">
        <f>(((B99)+(B100))+(B101))+(B102)</f>
        <v>0</v>
      </c>
      <c r="C103" s="6">
        <f>(((C99)+(C100))+(C101))+(C102)</f>
        <v>1666.6599999999999</v>
      </c>
      <c r="D103" s="6">
        <f t="shared" si="59"/>
        <v>-1666.6599999999999</v>
      </c>
      <c r="E103" s="7">
        <f t="shared" si="60"/>
        <v>0</v>
      </c>
      <c r="F103" s="6">
        <f>(((F99)+(F100))+(F101))+(F102)</f>
        <v>0</v>
      </c>
      <c r="G103" s="6">
        <f>(((G99)+(G100))+(G101))+(G102)</f>
        <v>1666.6599999999999</v>
      </c>
      <c r="H103" s="6">
        <f t="shared" si="61"/>
        <v>-1666.6599999999999</v>
      </c>
      <c r="I103" s="7">
        <f t="shared" si="62"/>
        <v>0</v>
      </c>
      <c r="J103" s="6">
        <f>(((J99)+(J100))+(J101))+(J102)</f>
        <v>2053.5</v>
      </c>
      <c r="K103" s="6">
        <f>(((K99)+(K100))+(K101))+(K102)</f>
        <v>1666.6599999999999</v>
      </c>
      <c r="L103" s="6">
        <f t="shared" si="63"/>
        <v>386.84000000000015</v>
      </c>
      <c r="M103" s="7">
        <f t="shared" si="64"/>
        <v>1.2321049284197139</v>
      </c>
      <c r="N103" s="6">
        <f>(((N99)+(N100))+(N101))+(N102)</f>
        <v>4034.0200000000004</v>
      </c>
      <c r="O103" s="6">
        <f>(((O99)+(O100))+(O101))+(O102)</f>
        <v>1666.6599999999999</v>
      </c>
      <c r="P103" s="6">
        <f t="shared" si="65"/>
        <v>2367.3600000000006</v>
      </c>
      <c r="Q103" s="7">
        <f t="shared" si="66"/>
        <v>2.4204216816867272</v>
      </c>
      <c r="R103" s="6">
        <f>(((R99)+(R100))+(R101))+(R102)</f>
        <v>2290.92</v>
      </c>
      <c r="S103" s="6">
        <f>(((S99)+(S100))+(S101))+(S102)</f>
        <v>1666.6599999999999</v>
      </c>
      <c r="T103" s="6">
        <f t="shared" si="67"/>
        <v>624.26000000000022</v>
      </c>
      <c r="U103" s="7">
        <f t="shared" si="68"/>
        <v>1.3745574982299931</v>
      </c>
      <c r="V103" s="6">
        <f>(((V99)+(V100))+(V101))+(V102)</f>
        <v>6442.32</v>
      </c>
      <c r="W103" s="6">
        <f>(((W99)+(W100))+(W101))+(W102)</f>
        <v>1666.6599999999999</v>
      </c>
      <c r="X103" s="6">
        <f t="shared" si="69"/>
        <v>4775.66</v>
      </c>
      <c r="Y103" s="7">
        <f t="shared" si="70"/>
        <v>3.8654074616298466</v>
      </c>
      <c r="Z103" s="6">
        <f>(((Z99)+(Z100))+(Z101))+(Z102)</f>
        <v>1452.59</v>
      </c>
      <c r="AA103" s="6">
        <f>(((AA99)+(AA100))+(AA101))+(AA102)</f>
        <v>1666.6599999999999</v>
      </c>
      <c r="AB103" s="6">
        <f t="shared" si="71"/>
        <v>-214.06999999999994</v>
      </c>
      <c r="AC103" s="7">
        <f t="shared" si="72"/>
        <v>0.871557486229945</v>
      </c>
      <c r="AD103" s="6">
        <f>(((AD99)+(AD100))+(AD101))+(AD102)</f>
        <v>0</v>
      </c>
      <c r="AE103" s="6">
        <f>(((AE99)+(AE100))+(AE101))+(AE102)</f>
        <v>1666.6599999999999</v>
      </c>
      <c r="AF103" s="6">
        <f t="shared" si="73"/>
        <v>-1666.6599999999999</v>
      </c>
      <c r="AG103" s="7">
        <f t="shared" si="74"/>
        <v>0</v>
      </c>
      <c r="AH103" s="6">
        <f t="shared" si="75"/>
        <v>16273.35</v>
      </c>
      <c r="AI103" s="6">
        <f t="shared" si="76"/>
        <v>13333.279999999999</v>
      </c>
      <c r="AJ103" s="6">
        <f t="shared" si="77"/>
        <v>2940.0700000000015</v>
      </c>
      <c r="AK103" s="7">
        <f t="shared" si="78"/>
        <v>1.2205061320245283</v>
      </c>
    </row>
    <row r="104" spans="1:37" x14ac:dyDescent="0.25">
      <c r="A104" s="2" t="s">
        <v>110</v>
      </c>
      <c r="B104" s="3"/>
      <c r="C104" s="3"/>
      <c r="D104" s="4">
        <f t="shared" si="59"/>
        <v>0</v>
      </c>
      <c r="E104" s="5" t="str">
        <f t="shared" si="60"/>
        <v/>
      </c>
      <c r="F104" s="3"/>
      <c r="G104" s="3"/>
      <c r="H104" s="4">
        <f t="shared" si="61"/>
        <v>0</v>
      </c>
      <c r="I104" s="5" t="str">
        <f t="shared" si="62"/>
        <v/>
      </c>
      <c r="J104" s="3"/>
      <c r="K104" s="3"/>
      <c r="L104" s="4">
        <f t="shared" si="63"/>
        <v>0</v>
      </c>
      <c r="M104" s="5" t="str">
        <f t="shared" si="64"/>
        <v/>
      </c>
      <c r="N104" s="3"/>
      <c r="O104" s="3"/>
      <c r="P104" s="4">
        <f t="shared" si="65"/>
        <v>0</v>
      </c>
      <c r="Q104" s="5" t="str">
        <f t="shared" si="66"/>
        <v/>
      </c>
      <c r="R104" s="3"/>
      <c r="S104" s="3"/>
      <c r="T104" s="4">
        <f t="shared" si="67"/>
        <v>0</v>
      </c>
      <c r="U104" s="5" t="str">
        <f t="shared" si="68"/>
        <v/>
      </c>
      <c r="V104" s="3"/>
      <c r="W104" s="3"/>
      <c r="X104" s="4">
        <f t="shared" si="69"/>
        <v>0</v>
      </c>
      <c r="Y104" s="5" t="str">
        <f t="shared" si="70"/>
        <v/>
      </c>
      <c r="Z104" s="3"/>
      <c r="AA104" s="3"/>
      <c r="AB104" s="4">
        <f t="shared" si="71"/>
        <v>0</v>
      </c>
      <c r="AC104" s="5" t="str">
        <f t="shared" si="72"/>
        <v/>
      </c>
      <c r="AD104" s="3"/>
      <c r="AE104" s="3"/>
      <c r="AF104" s="4">
        <f t="shared" si="73"/>
        <v>0</v>
      </c>
      <c r="AG104" s="5" t="str">
        <f t="shared" si="74"/>
        <v/>
      </c>
      <c r="AH104" s="4">
        <f t="shared" si="75"/>
        <v>0</v>
      </c>
      <c r="AI104" s="4">
        <f t="shared" si="76"/>
        <v>0</v>
      </c>
      <c r="AJ104" s="4">
        <f t="shared" si="77"/>
        <v>0</v>
      </c>
      <c r="AK104" s="5" t="str">
        <f t="shared" si="78"/>
        <v/>
      </c>
    </row>
    <row r="105" spans="1:37" x14ac:dyDescent="0.25">
      <c r="A105" s="2" t="s">
        <v>111</v>
      </c>
      <c r="B105" s="3"/>
      <c r="C105" s="4">
        <f>866.67</f>
        <v>866.67</v>
      </c>
      <c r="D105" s="4">
        <f t="shared" si="59"/>
        <v>-866.67</v>
      </c>
      <c r="E105" s="5">
        <f t="shared" si="60"/>
        <v>0</v>
      </c>
      <c r="F105" s="3"/>
      <c r="G105" s="4">
        <f>866.67</f>
        <v>866.67</v>
      </c>
      <c r="H105" s="4">
        <f t="shared" si="61"/>
        <v>-866.67</v>
      </c>
      <c r="I105" s="5">
        <f t="shared" si="62"/>
        <v>0</v>
      </c>
      <c r="J105" s="3"/>
      <c r="K105" s="4">
        <f>866.67</f>
        <v>866.67</v>
      </c>
      <c r="L105" s="4">
        <f t="shared" si="63"/>
        <v>-866.67</v>
      </c>
      <c r="M105" s="5">
        <f t="shared" si="64"/>
        <v>0</v>
      </c>
      <c r="N105" s="4">
        <f>1920.91</f>
        <v>1920.91</v>
      </c>
      <c r="O105" s="4">
        <f>866.67</f>
        <v>866.67</v>
      </c>
      <c r="P105" s="4">
        <f t="shared" si="65"/>
        <v>1054.2400000000002</v>
      </c>
      <c r="Q105" s="5">
        <f t="shared" si="66"/>
        <v>2.2164260906688824</v>
      </c>
      <c r="R105" s="4">
        <f>80.2</f>
        <v>80.2</v>
      </c>
      <c r="S105" s="4">
        <f>866.67</f>
        <v>866.67</v>
      </c>
      <c r="T105" s="4">
        <f t="shared" si="67"/>
        <v>-786.46999999999991</v>
      </c>
      <c r="U105" s="5">
        <f t="shared" si="68"/>
        <v>9.2538105622670688E-2</v>
      </c>
      <c r="V105" s="4">
        <f>1249.41</f>
        <v>1249.4100000000001</v>
      </c>
      <c r="W105" s="4">
        <f>866.67</f>
        <v>866.67</v>
      </c>
      <c r="X105" s="4">
        <f t="shared" si="69"/>
        <v>382.74000000000012</v>
      </c>
      <c r="Y105" s="5">
        <f t="shared" si="70"/>
        <v>1.4416213783793141</v>
      </c>
      <c r="Z105" s="4">
        <f>476.53</f>
        <v>476.53</v>
      </c>
      <c r="AA105" s="4">
        <f>866.67</f>
        <v>866.67</v>
      </c>
      <c r="AB105" s="4">
        <f t="shared" si="71"/>
        <v>-390.14</v>
      </c>
      <c r="AC105" s="5">
        <f t="shared" si="72"/>
        <v>0.54984019292233488</v>
      </c>
      <c r="AD105" s="4">
        <f>2053.52</f>
        <v>2053.52</v>
      </c>
      <c r="AE105" s="4">
        <f>866.67</f>
        <v>866.67</v>
      </c>
      <c r="AF105" s="4">
        <f t="shared" si="73"/>
        <v>1186.8499999999999</v>
      </c>
      <c r="AG105" s="5">
        <f t="shared" si="74"/>
        <v>2.3694370406267669</v>
      </c>
      <c r="AH105" s="4">
        <f t="shared" si="75"/>
        <v>5780.57</v>
      </c>
      <c r="AI105" s="4">
        <f t="shared" si="76"/>
        <v>6933.36</v>
      </c>
      <c r="AJ105" s="4">
        <f t="shared" si="77"/>
        <v>-1152.79</v>
      </c>
      <c r="AK105" s="5">
        <f t="shared" si="78"/>
        <v>0.83373285102749606</v>
      </c>
    </row>
    <row r="106" spans="1:37" x14ac:dyDescent="0.25">
      <c r="A106" s="2" t="s">
        <v>112</v>
      </c>
      <c r="B106" s="3"/>
      <c r="C106" s="4">
        <f>466.67</f>
        <v>466.67</v>
      </c>
      <c r="D106" s="4">
        <f t="shared" si="59"/>
        <v>-466.67</v>
      </c>
      <c r="E106" s="5">
        <f t="shared" si="60"/>
        <v>0</v>
      </c>
      <c r="F106" s="3"/>
      <c r="G106" s="4">
        <f>466.67</f>
        <v>466.67</v>
      </c>
      <c r="H106" s="4">
        <f t="shared" si="61"/>
        <v>-466.67</v>
      </c>
      <c r="I106" s="5">
        <f t="shared" si="62"/>
        <v>0</v>
      </c>
      <c r="J106" s="3"/>
      <c r="K106" s="4">
        <f>466.67</f>
        <v>466.67</v>
      </c>
      <c r="L106" s="4">
        <f t="shared" si="63"/>
        <v>-466.67</v>
      </c>
      <c r="M106" s="5">
        <f t="shared" si="64"/>
        <v>0</v>
      </c>
      <c r="N106" s="4">
        <f>1034.34</f>
        <v>1034.3399999999999</v>
      </c>
      <c r="O106" s="4">
        <f>466.67</f>
        <v>466.67</v>
      </c>
      <c r="P106" s="4">
        <f t="shared" si="65"/>
        <v>567.66999999999985</v>
      </c>
      <c r="Q106" s="5">
        <f t="shared" si="66"/>
        <v>2.2164270255212459</v>
      </c>
      <c r="R106" s="4">
        <f>43.18</f>
        <v>43.18</v>
      </c>
      <c r="S106" s="4">
        <f>466.67</f>
        <v>466.67</v>
      </c>
      <c r="T106" s="4">
        <f t="shared" si="67"/>
        <v>-423.49</v>
      </c>
      <c r="U106" s="5">
        <f t="shared" si="68"/>
        <v>9.2527910514924885E-2</v>
      </c>
      <c r="V106" s="4">
        <f>672.76</f>
        <v>672.76</v>
      </c>
      <c r="W106" s="4">
        <f>466.67</f>
        <v>466.67</v>
      </c>
      <c r="X106" s="4">
        <f t="shared" si="69"/>
        <v>206.08999999999997</v>
      </c>
      <c r="Y106" s="5">
        <f t="shared" si="70"/>
        <v>1.4416182741551846</v>
      </c>
      <c r="Z106" s="4">
        <f>256.59</f>
        <v>256.58999999999997</v>
      </c>
      <c r="AA106" s="4">
        <f>466.67</f>
        <v>466.67</v>
      </c>
      <c r="AB106" s="4">
        <f t="shared" si="71"/>
        <v>-210.08000000000004</v>
      </c>
      <c r="AC106" s="5">
        <f t="shared" si="72"/>
        <v>0.5498317869158077</v>
      </c>
      <c r="AD106" s="4">
        <f>1105.74</f>
        <v>1105.74</v>
      </c>
      <c r="AE106" s="4">
        <f>466.67</f>
        <v>466.67</v>
      </c>
      <c r="AF106" s="4">
        <f t="shared" si="73"/>
        <v>639.06999999999994</v>
      </c>
      <c r="AG106" s="5">
        <f t="shared" si="74"/>
        <v>2.3694259326719096</v>
      </c>
      <c r="AH106" s="4">
        <f t="shared" si="75"/>
        <v>3112.6099999999997</v>
      </c>
      <c r="AI106" s="4">
        <f t="shared" si="76"/>
        <v>3733.36</v>
      </c>
      <c r="AJ106" s="4">
        <f t="shared" si="77"/>
        <v>-620.75000000000045</v>
      </c>
      <c r="AK106" s="5">
        <f t="shared" si="78"/>
        <v>0.83372886622238396</v>
      </c>
    </row>
    <row r="107" spans="1:37" x14ac:dyDescent="0.25">
      <c r="A107" s="2" t="s">
        <v>113</v>
      </c>
      <c r="B107" s="3"/>
      <c r="C107" s="3"/>
      <c r="D107" s="4">
        <f t="shared" si="59"/>
        <v>0</v>
      </c>
      <c r="E107" s="5" t="str">
        <f t="shared" si="60"/>
        <v/>
      </c>
      <c r="F107" s="3"/>
      <c r="G107" s="3"/>
      <c r="H107" s="4">
        <f t="shared" si="61"/>
        <v>0</v>
      </c>
      <c r="I107" s="5" t="str">
        <f t="shared" si="62"/>
        <v/>
      </c>
      <c r="J107" s="3"/>
      <c r="K107" s="3"/>
      <c r="L107" s="4">
        <f t="shared" si="63"/>
        <v>0</v>
      </c>
      <c r="M107" s="5" t="str">
        <f t="shared" si="64"/>
        <v/>
      </c>
      <c r="N107" s="4">
        <f>0</f>
        <v>0</v>
      </c>
      <c r="O107" s="3"/>
      <c r="P107" s="4">
        <f t="shared" si="65"/>
        <v>0</v>
      </c>
      <c r="Q107" s="5" t="str">
        <f t="shared" si="66"/>
        <v/>
      </c>
      <c r="R107" s="4">
        <f>0</f>
        <v>0</v>
      </c>
      <c r="S107" s="3"/>
      <c r="T107" s="4">
        <f t="shared" si="67"/>
        <v>0</v>
      </c>
      <c r="U107" s="5" t="str">
        <f t="shared" si="68"/>
        <v/>
      </c>
      <c r="V107" s="4">
        <f>0</f>
        <v>0</v>
      </c>
      <c r="W107" s="3"/>
      <c r="X107" s="4">
        <f t="shared" si="69"/>
        <v>0</v>
      </c>
      <c r="Y107" s="5" t="str">
        <f t="shared" si="70"/>
        <v/>
      </c>
      <c r="Z107" s="4">
        <f>0</f>
        <v>0</v>
      </c>
      <c r="AA107" s="3"/>
      <c r="AB107" s="4">
        <f t="shared" si="71"/>
        <v>0</v>
      </c>
      <c r="AC107" s="5" t="str">
        <f t="shared" si="72"/>
        <v/>
      </c>
      <c r="AD107" s="4">
        <f>0</f>
        <v>0</v>
      </c>
      <c r="AE107" s="3"/>
      <c r="AF107" s="4">
        <f t="shared" si="73"/>
        <v>0</v>
      </c>
      <c r="AG107" s="5" t="str">
        <f t="shared" si="74"/>
        <v/>
      </c>
      <c r="AH107" s="4">
        <f t="shared" si="75"/>
        <v>0</v>
      </c>
      <c r="AI107" s="4">
        <f t="shared" si="76"/>
        <v>0</v>
      </c>
      <c r="AJ107" s="4">
        <f t="shared" si="77"/>
        <v>0</v>
      </c>
      <c r="AK107" s="5" t="str">
        <f t="shared" si="78"/>
        <v/>
      </c>
    </row>
    <row r="108" spans="1:37" x14ac:dyDescent="0.25">
      <c r="A108" s="2" t="s">
        <v>114</v>
      </c>
      <c r="B108" s="6">
        <f>(((B104)+(B105))+(B106))+(B107)</f>
        <v>0</v>
      </c>
      <c r="C108" s="6">
        <f>(((C104)+(C105))+(C106))+(C107)</f>
        <v>1333.34</v>
      </c>
      <c r="D108" s="6">
        <f t="shared" si="59"/>
        <v>-1333.34</v>
      </c>
      <c r="E108" s="7">
        <f t="shared" si="60"/>
        <v>0</v>
      </c>
      <c r="F108" s="6">
        <f>(((F104)+(F105))+(F106))+(F107)</f>
        <v>0</v>
      </c>
      <c r="G108" s="6">
        <f>(((G104)+(G105))+(G106))+(G107)</f>
        <v>1333.34</v>
      </c>
      <c r="H108" s="6">
        <f t="shared" si="61"/>
        <v>-1333.34</v>
      </c>
      <c r="I108" s="7">
        <f t="shared" si="62"/>
        <v>0</v>
      </c>
      <c r="J108" s="6">
        <f>(((J104)+(J105))+(J106))+(J107)</f>
        <v>0</v>
      </c>
      <c r="K108" s="6">
        <f>(((K104)+(K105))+(K106))+(K107)</f>
        <v>1333.34</v>
      </c>
      <c r="L108" s="6">
        <f t="shared" si="63"/>
        <v>-1333.34</v>
      </c>
      <c r="M108" s="7">
        <f t="shared" si="64"/>
        <v>0</v>
      </c>
      <c r="N108" s="6">
        <f>(((N104)+(N105))+(N106))+(N107)</f>
        <v>2955.25</v>
      </c>
      <c r="O108" s="6">
        <f>(((O104)+(O105))+(O106))+(O107)</f>
        <v>1333.34</v>
      </c>
      <c r="P108" s="6">
        <f t="shared" si="65"/>
        <v>1621.91</v>
      </c>
      <c r="Q108" s="7">
        <f t="shared" si="66"/>
        <v>2.2164264178679107</v>
      </c>
      <c r="R108" s="6">
        <f>(((R104)+(R105))+(R106))+(R107)</f>
        <v>123.38</v>
      </c>
      <c r="S108" s="6">
        <f>(((S104)+(S105))+(S106))+(S107)</f>
        <v>1333.34</v>
      </c>
      <c r="T108" s="6">
        <f t="shared" si="67"/>
        <v>-1209.96</v>
      </c>
      <c r="U108" s="7">
        <f t="shared" si="68"/>
        <v>9.2534537327313371E-2</v>
      </c>
      <c r="V108" s="6">
        <f>(((V104)+(V105))+(V106))+(V107)</f>
        <v>1922.17</v>
      </c>
      <c r="W108" s="6">
        <f>(((W104)+(W105))+(W106))+(W107)</f>
        <v>1333.34</v>
      </c>
      <c r="X108" s="6">
        <f t="shared" si="69"/>
        <v>588.83000000000015</v>
      </c>
      <c r="Y108" s="7">
        <f t="shared" si="70"/>
        <v>1.4416202918985406</v>
      </c>
      <c r="Z108" s="6">
        <f>(((Z104)+(Z105))+(Z106))+(Z107)</f>
        <v>733.11999999999989</v>
      </c>
      <c r="AA108" s="6">
        <f>(((AA104)+(AA105))+(AA106))+(AA107)</f>
        <v>1333.34</v>
      </c>
      <c r="AB108" s="6">
        <f t="shared" si="71"/>
        <v>-600.22</v>
      </c>
      <c r="AC108" s="7">
        <f t="shared" si="72"/>
        <v>0.5498372508137459</v>
      </c>
      <c r="AD108" s="6">
        <f>(((AD104)+(AD105))+(AD106))+(AD107)</f>
        <v>3159.26</v>
      </c>
      <c r="AE108" s="6">
        <f>(((AE104)+(AE105))+(AE106))+(AE107)</f>
        <v>1333.34</v>
      </c>
      <c r="AF108" s="6">
        <f t="shared" si="73"/>
        <v>1825.9200000000003</v>
      </c>
      <c r="AG108" s="7">
        <f t="shared" si="74"/>
        <v>2.3694331528342363</v>
      </c>
      <c r="AH108" s="6">
        <f t="shared" si="75"/>
        <v>8893.18</v>
      </c>
      <c r="AI108" s="6">
        <f t="shared" si="76"/>
        <v>10666.72</v>
      </c>
      <c r="AJ108" s="6">
        <f t="shared" si="77"/>
        <v>-1773.5399999999991</v>
      </c>
      <c r="AK108" s="7">
        <f t="shared" si="78"/>
        <v>0.83373145634271839</v>
      </c>
    </row>
    <row r="109" spans="1:37" x14ac:dyDescent="0.25">
      <c r="A109" s="2" t="s">
        <v>115</v>
      </c>
      <c r="B109" s="3"/>
      <c r="C109" s="3"/>
      <c r="D109" s="4">
        <f t="shared" si="59"/>
        <v>0</v>
      </c>
      <c r="E109" s="5" t="str">
        <f t="shared" si="60"/>
        <v/>
      </c>
      <c r="F109" s="3"/>
      <c r="G109" s="3"/>
      <c r="H109" s="4">
        <f t="shared" si="61"/>
        <v>0</v>
      </c>
      <c r="I109" s="5" t="str">
        <f t="shared" si="62"/>
        <v/>
      </c>
      <c r="J109" s="3"/>
      <c r="K109" s="3"/>
      <c r="L109" s="4">
        <f t="shared" si="63"/>
        <v>0</v>
      </c>
      <c r="M109" s="5" t="str">
        <f t="shared" si="64"/>
        <v/>
      </c>
      <c r="N109" s="3"/>
      <c r="O109" s="3"/>
      <c r="P109" s="4">
        <f t="shared" si="65"/>
        <v>0</v>
      </c>
      <c r="Q109" s="5" t="str">
        <f t="shared" si="66"/>
        <v/>
      </c>
      <c r="R109" s="3"/>
      <c r="S109" s="3"/>
      <c r="T109" s="4">
        <f t="shared" si="67"/>
        <v>0</v>
      </c>
      <c r="U109" s="5" t="str">
        <f t="shared" si="68"/>
        <v/>
      </c>
      <c r="V109" s="3"/>
      <c r="W109" s="3"/>
      <c r="X109" s="4">
        <f t="shared" si="69"/>
        <v>0</v>
      </c>
      <c r="Y109" s="5" t="str">
        <f t="shared" si="70"/>
        <v/>
      </c>
      <c r="Z109" s="3"/>
      <c r="AA109" s="3"/>
      <c r="AB109" s="4">
        <f t="shared" si="71"/>
        <v>0</v>
      </c>
      <c r="AC109" s="5" t="str">
        <f t="shared" si="72"/>
        <v/>
      </c>
      <c r="AD109" s="3"/>
      <c r="AE109" s="3"/>
      <c r="AF109" s="4">
        <f t="shared" si="73"/>
        <v>0</v>
      </c>
      <c r="AG109" s="5" t="str">
        <f t="shared" si="74"/>
        <v/>
      </c>
      <c r="AH109" s="4">
        <f t="shared" si="75"/>
        <v>0</v>
      </c>
      <c r="AI109" s="4">
        <f t="shared" si="76"/>
        <v>0</v>
      </c>
      <c r="AJ109" s="4">
        <f t="shared" si="77"/>
        <v>0</v>
      </c>
      <c r="AK109" s="5" t="str">
        <f t="shared" si="78"/>
        <v/>
      </c>
    </row>
    <row r="110" spans="1:37" x14ac:dyDescent="0.25">
      <c r="A110" s="2" t="s">
        <v>116</v>
      </c>
      <c r="B110" s="4">
        <f>4480.13</f>
        <v>4480.13</v>
      </c>
      <c r="C110" s="4">
        <f>4875</f>
        <v>4875</v>
      </c>
      <c r="D110" s="4">
        <f t="shared" si="59"/>
        <v>-394.86999999999989</v>
      </c>
      <c r="E110" s="5">
        <f t="shared" si="60"/>
        <v>0.9190010256410257</v>
      </c>
      <c r="F110" s="4">
        <f>3087.5</f>
        <v>3087.5</v>
      </c>
      <c r="G110" s="4">
        <f>4875</f>
        <v>4875</v>
      </c>
      <c r="H110" s="4">
        <f t="shared" si="61"/>
        <v>-1787.5</v>
      </c>
      <c r="I110" s="5">
        <f t="shared" si="62"/>
        <v>0.6333333333333333</v>
      </c>
      <c r="J110" s="4">
        <f>3698.8</f>
        <v>3698.8</v>
      </c>
      <c r="K110" s="4">
        <f>4875</f>
        <v>4875</v>
      </c>
      <c r="L110" s="4">
        <f t="shared" si="63"/>
        <v>-1176.1999999999998</v>
      </c>
      <c r="M110" s="5">
        <f t="shared" si="64"/>
        <v>0.75872820512820516</v>
      </c>
      <c r="N110" s="4">
        <f>3250</f>
        <v>3250</v>
      </c>
      <c r="O110" s="4">
        <f>4875</f>
        <v>4875</v>
      </c>
      <c r="P110" s="4">
        <f t="shared" si="65"/>
        <v>-1625</v>
      </c>
      <c r="Q110" s="5">
        <f t="shared" si="66"/>
        <v>0.66666666666666663</v>
      </c>
      <c r="R110" s="4">
        <f>2927.78</f>
        <v>2927.78</v>
      </c>
      <c r="S110" s="4">
        <f>4875</f>
        <v>4875</v>
      </c>
      <c r="T110" s="4">
        <f t="shared" si="67"/>
        <v>-1947.2199999999998</v>
      </c>
      <c r="U110" s="5">
        <f t="shared" si="68"/>
        <v>0.60057025641025641</v>
      </c>
      <c r="V110" s="4">
        <f>4073.97</f>
        <v>4073.97</v>
      </c>
      <c r="W110" s="4">
        <f>4875</f>
        <v>4875</v>
      </c>
      <c r="X110" s="4">
        <f t="shared" si="69"/>
        <v>-801.0300000000002</v>
      </c>
      <c r="Y110" s="5">
        <f t="shared" si="70"/>
        <v>0.83568615384615386</v>
      </c>
      <c r="Z110" s="4">
        <f>4448.89</f>
        <v>4448.8900000000003</v>
      </c>
      <c r="AA110" s="4">
        <f>4875</f>
        <v>4875</v>
      </c>
      <c r="AB110" s="4">
        <f t="shared" si="71"/>
        <v>-426.10999999999967</v>
      </c>
      <c r="AC110" s="5">
        <f t="shared" si="72"/>
        <v>0.91259282051282054</v>
      </c>
      <c r="AD110" s="4">
        <f>4121.77</f>
        <v>4121.7700000000004</v>
      </c>
      <c r="AE110" s="4">
        <f>4875</f>
        <v>4875</v>
      </c>
      <c r="AF110" s="4">
        <f t="shared" si="73"/>
        <v>-753.22999999999956</v>
      </c>
      <c r="AG110" s="5">
        <f t="shared" si="74"/>
        <v>0.8454912820512821</v>
      </c>
      <c r="AH110" s="4">
        <f t="shared" si="75"/>
        <v>30088.84</v>
      </c>
      <c r="AI110" s="4">
        <f t="shared" si="76"/>
        <v>39000</v>
      </c>
      <c r="AJ110" s="4">
        <f t="shared" si="77"/>
        <v>-8911.16</v>
      </c>
      <c r="AK110" s="5">
        <f t="shared" si="78"/>
        <v>0.771508717948718</v>
      </c>
    </row>
    <row r="111" spans="1:37" x14ac:dyDescent="0.25">
      <c r="A111" s="2" t="s">
        <v>117</v>
      </c>
      <c r="B111" s="4">
        <f>2412.37</f>
        <v>2412.37</v>
      </c>
      <c r="C111" s="4">
        <f>2625</f>
        <v>2625</v>
      </c>
      <c r="D111" s="4">
        <f t="shared" ref="D111:D142" si="79">(B111)-(C111)</f>
        <v>-212.63000000000011</v>
      </c>
      <c r="E111" s="5">
        <f t="shared" ref="E111:E121" si="80">IF(C111=0,"",(B111)/(C111))</f>
        <v>0.91899809523809517</v>
      </c>
      <c r="F111" s="4">
        <f>1662.5</f>
        <v>1662.5</v>
      </c>
      <c r="G111" s="4">
        <f>2625</f>
        <v>2625</v>
      </c>
      <c r="H111" s="4">
        <f t="shared" ref="H111:H142" si="81">(F111)-(G111)</f>
        <v>-962.5</v>
      </c>
      <c r="I111" s="5">
        <f t="shared" ref="I111:I121" si="82">IF(G111=0,"",(F111)/(G111))</f>
        <v>0.6333333333333333</v>
      </c>
      <c r="J111" s="4">
        <f>1991.66</f>
        <v>1991.66</v>
      </c>
      <c r="K111" s="4">
        <f>2625</f>
        <v>2625</v>
      </c>
      <c r="L111" s="4">
        <f t="shared" ref="L111:L142" si="83">(J111)-(K111)</f>
        <v>-633.33999999999992</v>
      </c>
      <c r="M111" s="5">
        <f t="shared" ref="M111:M121" si="84">IF(K111=0,"",(J111)/(K111))</f>
        <v>0.7587276190476191</v>
      </c>
      <c r="N111" s="4">
        <f>1750</f>
        <v>1750</v>
      </c>
      <c r="O111" s="4">
        <f>2625</f>
        <v>2625</v>
      </c>
      <c r="P111" s="4">
        <f t="shared" ref="P111:P142" si="85">(N111)-(O111)</f>
        <v>-875</v>
      </c>
      <c r="Q111" s="5">
        <f t="shared" ref="Q111:Q121" si="86">IF(O111=0,"",(N111)/(O111))</f>
        <v>0.66666666666666663</v>
      </c>
      <c r="R111" s="4">
        <f>1576.49</f>
        <v>1576.49</v>
      </c>
      <c r="S111" s="4">
        <f>2625</f>
        <v>2625</v>
      </c>
      <c r="T111" s="4">
        <f t="shared" ref="T111:T142" si="87">(R111)-(S111)</f>
        <v>-1048.51</v>
      </c>
      <c r="U111" s="5">
        <f t="shared" ref="U111:U121" si="88">IF(S111=0,"",(R111)/(S111))</f>
        <v>0.60056761904761902</v>
      </c>
      <c r="V111" s="4">
        <f>2193.68</f>
        <v>2193.6799999999998</v>
      </c>
      <c r="W111" s="4">
        <f>2625</f>
        <v>2625</v>
      </c>
      <c r="X111" s="4">
        <f t="shared" ref="X111:X142" si="89">(V111)-(W111)</f>
        <v>-431.32000000000016</v>
      </c>
      <c r="Y111" s="5">
        <f t="shared" ref="Y111:Y121" si="90">IF(W111=0,"",(V111)/(W111))</f>
        <v>0.83568761904761901</v>
      </c>
      <c r="Z111" s="4">
        <f>2395.55</f>
        <v>2395.5500000000002</v>
      </c>
      <c r="AA111" s="4">
        <f>2625</f>
        <v>2625</v>
      </c>
      <c r="AB111" s="4">
        <f t="shared" ref="AB111:AB142" si="91">(Z111)-(AA111)</f>
        <v>-229.44999999999982</v>
      </c>
      <c r="AC111" s="5">
        <f t="shared" ref="AC111:AC121" si="92">IF(AA111=0,"",(Z111)/(AA111))</f>
        <v>0.91259047619047629</v>
      </c>
      <c r="AD111" s="4">
        <f>2219.41</f>
        <v>2219.41</v>
      </c>
      <c r="AE111" s="4">
        <f>2625</f>
        <v>2625</v>
      </c>
      <c r="AF111" s="4">
        <f t="shared" ref="AF111:AF142" si="93">(AD111)-(AE111)</f>
        <v>-405.59000000000015</v>
      </c>
      <c r="AG111" s="5">
        <f t="shared" ref="AG111:AG121" si="94">IF(AE111=0,"",(AD111)/(AE111))</f>
        <v>0.8454895238095238</v>
      </c>
      <c r="AH111" s="4">
        <f t="shared" ref="AH111:AH121" si="95">(((((((B111)+(F111))+(J111))+(N111))+(R111))+(V111))+(Z111))+(AD111)</f>
        <v>16201.66</v>
      </c>
      <c r="AI111" s="4">
        <f t="shared" ref="AI111:AI121" si="96">(((((((C111)+(G111))+(K111))+(O111))+(S111))+(W111))+(AA111))+(AE111)</f>
        <v>21000</v>
      </c>
      <c r="AJ111" s="4">
        <f t="shared" ref="AJ111:AJ142" si="97">(AH111)-(AI111)</f>
        <v>-4798.34</v>
      </c>
      <c r="AK111" s="5">
        <f t="shared" ref="AK111:AK121" si="98">IF(AI111=0,"",(AH111)/(AI111))</f>
        <v>0.771507619047619</v>
      </c>
    </row>
    <row r="112" spans="1:37" x14ac:dyDescent="0.25">
      <c r="A112" s="2" t="s">
        <v>118</v>
      </c>
      <c r="B112" s="4">
        <f>0</f>
        <v>0</v>
      </c>
      <c r="C112" s="3"/>
      <c r="D112" s="4">
        <f t="shared" si="79"/>
        <v>0</v>
      </c>
      <c r="E112" s="5" t="str">
        <f t="shared" si="80"/>
        <v/>
      </c>
      <c r="F112" s="4">
        <f>0</f>
        <v>0</v>
      </c>
      <c r="G112" s="3"/>
      <c r="H112" s="4">
        <f t="shared" si="81"/>
        <v>0</v>
      </c>
      <c r="I112" s="5" t="str">
        <f t="shared" si="82"/>
        <v/>
      </c>
      <c r="J112" s="4">
        <f>-1190.46</f>
        <v>-1190.46</v>
      </c>
      <c r="K112" s="3"/>
      <c r="L112" s="4">
        <f t="shared" si="83"/>
        <v>-1190.46</v>
      </c>
      <c r="M112" s="5" t="str">
        <f t="shared" si="84"/>
        <v/>
      </c>
      <c r="N112" s="4">
        <f>0</f>
        <v>0</v>
      </c>
      <c r="O112" s="3"/>
      <c r="P112" s="4">
        <f t="shared" si="85"/>
        <v>0</v>
      </c>
      <c r="Q112" s="5" t="str">
        <f t="shared" si="86"/>
        <v/>
      </c>
      <c r="R112" s="4">
        <f>0</f>
        <v>0</v>
      </c>
      <c r="S112" s="3"/>
      <c r="T112" s="4">
        <f t="shared" si="87"/>
        <v>0</v>
      </c>
      <c r="U112" s="5" t="str">
        <f t="shared" si="88"/>
        <v/>
      </c>
      <c r="V112" s="4">
        <f>1190.46</f>
        <v>1190.46</v>
      </c>
      <c r="W112" s="3"/>
      <c r="X112" s="4">
        <f t="shared" si="89"/>
        <v>1190.46</v>
      </c>
      <c r="Y112" s="5" t="str">
        <f t="shared" si="90"/>
        <v/>
      </c>
      <c r="Z112" s="4">
        <f>0</f>
        <v>0</v>
      </c>
      <c r="AA112" s="3"/>
      <c r="AB112" s="4">
        <f t="shared" si="91"/>
        <v>0</v>
      </c>
      <c r="AC112" s="5" t="str">
        <f t="shared" si="92"/>
        <v/>
      </c>
      <c r="AD112" s="4">
        <f>0</f>
        <v>0</v>
      </c>
      <c r="AE112" s="3"/>
      <c r="AF112" s="4">
        <f t="shared" si="93"/>
        <v>0</v>
      </c>
      <c r="AG112" s="5" t="str">
        <f t="shared" si="94"/>
        <v/>
      </c>
      <c r="AH112" s="4">
        <f t="shared" si="95"/>
        <v>0</v>
      </c>
      <c r="AI112" s="4">
        <f t="shared" si="96"/>
        <v>0</v>
      </c>
      <c r="AJ112" s="4">
        <f t="shared" si="97"/>
        <v>0</v>
      </c>
      <c r="AK112" s="5" t="str">
        <f t="shared" si="98"/>
        <v/>
      </c>
    </row>
    <row r="113" spans="1:37" x14ac:dyDescent="0.25">
      <c r="A113" s="2" t="s">
        <v>119</v>
      </c>
      <c r="B113" s="6">
        <f>(((B109)+(B110))+(B111))+(B112)</f>
        <v>6892.5</v>
      </c>
      <c r="C113" s="6">
        <f>(((C109)+(C110))+(C111))+(C112)</f>
        <v>7500</v>
      </c>
      <c r="D113" s="6">
        <f t="shared" si="79"/>
        <v>-607.5</v>
      </c>
      <c r="E113" s="7">
        <f t="shared" si="80"/>
        <v>0.91900000000000004</v>
      </c>
      <c r="F113" s="6">
        <f>(((F109)+(F110))+(F111))+(F112)</f>
        <v>4750</v>
      </c>
      <c r="G113" s="6">
        <f>(((G109)+(G110))+(G111))+(G112)</f>
        <v>7500</v>
      </c>
      <c r="H113" s="6">
        <f t="shared" si="81"/>
        <v>-2750</v>
      </c>
      <c r="I113" s="7">
        <f t="shared" si="82"/>
        <v>0.6333333333333333</v>
      </c>
      <c r="J113" s="6">
        <f>(((J109)+(J110))+(J111))+(J112)</f>
        <v>4500</v>
      </c>
      <c r="K113" s="6">
        <f>(((K109)+(K110))+(K111))+(K112)</f>
        <v>7500</v>
      </c>
      <c r="L113" s="6">
        <f t="shared" si="83"/>
        <v>-3000</v>
      </c>
      <c r="M113" s="7">
        <f t="shared" si="84"/>
        <v>0.6</v>
      </c>
      <c r="N113" s="6">
        <f>(((N109)+(N110))+(N111))+(N112)</f>
        <v>5000</v>
      </c>
      <c r="O113" s="6">
        <f>(((O109)+(O110))+(O111))+(O112)</f>
        <v>7500</v>
      </c>
      <c r="P113" s="6">
        <f t="shared" si="85"/>
        <v>-2500</v>
      </c>
      <c r="Q113" s="7">
        <f t="shared" si="86"/>
        <v>0.66666666666666663</v>
      </c>
      <c r="R113" s="6">
        <f>(((R109)+(R110))+(R111))+(R112)</f>
        <v>4504.2700000000004</v>
      </c>
      <c r="S113" s="6">
        <f>(((S109)+(S110))+(S111))+(S112)</f>
        <v>7500</v>
      </c>
      <c r="T113" s="6">
        <f t="shared" si="87"/>
        <v>-2995.7299999999996</v>
      </c>
      <c r="U113" s="7">
        <f t="shared" si="88"/>
        <v>0.6005693333333334</v>
      </c>
      <c r="V113" s="6">
        <f>(((V109)+(V110))+(V111))+(V112)</f>
        <v>7458.11</v>
      </c>
      <c r="W113" s="6">
        <f>(((W109)+(W110))+(W111))+(W112)</f>
        <v>7500</v>
      </c>
      <c r="X113" s="6">
        <f t="shared" si="89"/>
        <v>-41.890000000000327</v>
      </c>
      <c r="Y113" s="7">
        <f t="shared" si="90"/>
        <v>0.99441466666666667</v>
      </c>
      <c r="Z113" s="6">
        <f>(((Z109)+(Z110))+(Z111))+(Z112)</f>
        <v>6844.4400000000005</v>
      </c>
      <c r="AA113" s="6">
        <f>(((AA109)+(AA110))+(AA111))+(AA112)</f>
        <v>7500</v>
      </c>
      <c r="AB113" s="6">
        <f t="shared" si="91"/>
        <v>-655.55999999999949</v>
      </c>
      <c r="AC113" s="7">
        <f t="shared" si="92"/>
        <v>0.91259200000000007</v>
      </c>
      <c r="AD113" s="6">
        <f>(((AD109)+(AD110))+(AD111))+(AD112)</f>
        <v>6341.18</v>
      </c>
      <c r="AE113" s="6">
        <f>(((AE109)+(AE110))+(AE111))+(AE112)</f>
        <v>7500</v>
      </c>
      <c r="AF113" s="6">
        <f t="shared" si="93"/>
        <v>-1158.8199999999997</v>
      </c>
      <c r="AG113" s="7">
        <f t="shared" si="94"/>
        <v>0.84549066666666672</v>
      </c>
      <c r="AH113" s="6">
        <f t="shared" si="95"/>
        <v>46290.5</v>
      </c>
      <c r="AI113" s="6">
        <f t="shared" si="96"/>
        <v>60000</v>
      </c>
      <c r="AJ113" s="6">
        <f t="shared" si="97"/>
        <v>-13709.5</v>
      </c>
      <c r="AK113" s="7">
        <f t="shared" si="98"/>
        <v>0.77150833333333335</v>
      </c>
    </row>
    <row r="114" spans="1:37" x14ac:dyDescent="0.25">
      <c r="A114" s="2" t="s">
        <v>120</v>
      </c>
      <c r="B114" s="3"/>
      <c r="C114" s="3"/>
      <c r="D114" s="4">
        <f t="shared" si="79"/>
        <v>0</v>
      </c>
      <c r="E114" s="5" t="str">
        <f t="shared" si="80"/>
        <v/>
      </c>
      <c r="F114" s="3"/>
      <c r="G114" s="3"/>
      <c r="H114" s="4">
        <f t="shared" si="81"/>
        <v>0</v>
      </c>
      <c r="I114" s="5" t="str">
        <f t="shared" si="82"/>
        <v/>
      </c>
      <c r="J114" s="3"/>
      <c r="K114" s="3"/>
      <c r="L114" s="4">
        <f t="shared" si="83"/>
        <v>0</v>
      </c>
      <c r="M114" s="5" t="str">
        <f t="shared" si="84"/>
        <v/>
      </c>
      <c r="N114" s="3"/>
      <c r="O114" s="3"/>
      <c r="P114" s="4">
        <f t="shared" si="85"/>
        <v>0</v>
      </c>
      <c r="Q114" s="5" t="str">
        <f t="shared" si="86"/>
        <v/>
      </c>
      <c r="R114" s="3"/>
      <c r="S114" s="3"/>
      <c r="T114" s="4">
        <f t="shared" si="87"/>
        <v>0</v>
      </c>
      <c r="U114" s="5" t="str">
        <f t="shared" si="88"/>
        <v/>
      </c>
      <c r="V114" s="3"/>
      <c r="W114" s="3"/>
      <c r="X114" s="4">
        <f t="shared" si="89"/>
        <v>0</v>
      </c>
      <c r="Y114" s="5" t="str">
        <f t="shared" si="90"/>
        <v/>
      </c>
      <c r="Z114" s="3"/>
      <c r="AA114" s="3"/>
      <c r="AB114" s="4">
        <f t="shared" si="91"/>
        <v>0</v>
      </c>
      <c r="AC114" s="5" t="str">
        <f t="shared" si="92"/>
        <v/>
      </c>
      <c r="AD114" s="3"/>
      <c r="AE114" s="3"/>
      <c r="AF114" s="4">
        <f t="shared" si="93"/>
        <v>0</v>
      </c>
      <c r="AG114" s="5" t="str">
        <f t="shared" si="94"/>
        <v/>
      </c>
      <c r="AH114" s="4">
        <f t="shared" si="95"/>
        <v>0</v>
      </c>
      <c r="AI114" s="4">
        <f t="shared" si="96"/>
        <v>0</v>
      </c>
      <c r="AJ114" s="4">
        <f t="shared" si="97"/>
        <v>0</v>
      </c>
      <c r="AK114" s="5" t="str">
        <f t="shared" si="98"/>
        <v/>
      </c>
    </row>
    <row r="115" spans="1:37" x14ac:dyDescent="0.25">
      <c r="A115" s="2" t="s">
        <v>121</v>
      </c>
      <c r="B115" s="4">
        <f>122.54</f>
        <v>122.54</v>
      </c>
      <c r="C115" s="4">
        <f>54.17</f>
        <v>54.17</v>
      </c>
      <c r="D115" s="4">
        <f t="shared" si="79"/>
        <v>68.37</v>
      </c>
      <c r="E115" s="5">
        <f t="shared" si="80"/>
        <v>2.2621377146021784</v>
      </c>
      <c r="F115" s="4">
        <f>21.42</f>
        <v>21.42</v>
      </c>
      <c r="G115" s="4">
        <f>54.17</f>
        <v>54.17</v>
      </c>
      <c r="H115" s="4">
        <f t="shared" si="81"/>
        <v>-32.75</v>
      </c>
      <c r="I115" s="5">
        <f t="shared" si="82"/>
        <v>0.39542182019568028</v>
      </c>
      <c r="J115" s="4">
        <f>213.76</f>
        <v>213.76</v>
      </c>
      <c r="K115" s="4">
        <f>54.17</f>
        <v>54.17</v>
      </c>
      <c r="L115" s="4">
        <f t="shared" si="83"/>
        <v>159.58999999999997</v>
      </c>
      <c r="M115" s="5">
        <f t="shared" si="84"/>
        <v>3.9460956248846224</v>
      </c>
      <c r="N115" s="4">
        <f>175.39</f>
        <v>175.39</v>
      </c>
      <c r="O115" s="4">
        <f>54.17</f>
        <v>54.17</v>
      </c>
      <c r="P115" s="4">
        <f t="shared" si="85"/>
        <v>121.21999999999998</v>
      </c>
      <c r="Q115" s="5">
        <f t="shared" si="86"/>
        <v>3.2377699833856375</v>
      </c>
      <c r="R115" s="4">
        <f>112.22</f>
        <v>112.22</v>
      </c>
      <c r="S115" s="4">
        <f>54.17</f>
        <v>54.17</v>
      </c>
      <c r="T115" s="4">
        <f t="shared" si="87"/>
        <v>58.05</v>
      </c>
      <c r="U115" s="5">
        <f t="shared" si="88"/>
        <v>2.0716263614546797</v>
      </c>
      <c r="V115" s="4">
        <f>162.51</f>
        <v>162.51</v>
      </c>
      <c r="W115" s="4">
        <f>54.17</f>
        <v>54.17</v>
      </c>
      <c r="X115" s="4">
        <f t="shared" si="89"/>
        <v>108.33999999999999</v>
      </c>
      <c r="Y115" s="5">
        <f t="shared" si="90"/>
        <v>2.9999999999999996</v>
      </c>
      <c r="Z115" s="4">
        <f>14.42</f>
        <v>14.42</v>
      </c>
      <c r="AA115" s="4">
        <f>54.17</f>
        <v>54.17</v>
      </c>
      <c r="AB115" s="4">
        <f t="shared" si="91"/>
        <v>-39.75</v>
      </c>
      <c r="AC115" s="5">
        <f t="shared" si="92"/>
        <v>0.26619900313826839</v>
      </c>
      <c r="AD115" s="4">
        <f>-43.37</f>
        <v>-43.37</v>
      </c>
      <c r="AE115" s="4">
        <f>54.17</f>
        <v>54.17</v>
      </c>
      <c r="AF115" s="4">
        <f t="shared" si="93"/>
        <v>-97.539999999999992</v>
      </c>
      <c r="AG115" s="5">
        <f t="shared" si="94"/>
        <v>-0.80062765368285016</v>
      </c>
      <c r="AH115" s="4">
        <f t="shared" si="95"/>
        <v>778.89</v>
      </c>
      <c r="AI115" s="4">
        <f t="shared" si="96"/>
        <v>433.36000000000007</v>
      </c>
      <c r="AJ115" s="4">
        <f t="shared" si="97"/>
        <v>345.52999999999992</v>
      </c>
      <c r="AK115" s="5">
        <f t="shared" si="98"/>
        <v>1.7973278567472768</v>
      </c>
    </row>
    <row r="116" spans="1:37" x14ac:dyDescent="0.25">
      <c r="A116" s="2" t="s">
        <v>122</v>
      </c>
      <c r="B116" s="4">
        <f>65.98</f>
        <v>65.98</v>
      </c>
      <c r="C116" s="4">
        <f>29.17</f>
        <v>29.17</v>
      </c>
      <c r="D116" s="4">
        <f t="shared" si="79"/>
        <v>36.81</v>
      </c>
      <c r="E116" s="5">
        <f t="shared" si="80"/>
        <v>2.26191292423723</v>
      </c>
      <c r="F116" s="4">
        <f>11.53</f>
        <v>11.53</v>
      </c>
      <c r="G116" s="4">
        <f>29.17</f>
        <v>29.17</v>
      </c>
      <c r="H116" s="4">
        <f t="shared" si="81"/>
        <v>-17.64</v>
      </c>
      <c r="I116" s="5">
        <f t="shared" si="82"/>
        <v>0.39526911210147408</v>
      </c>
      <c r="J116" s="4">
        <f>115.1</f>
        <v>115.1</v>
      </c>
      <c r="K116" s="4">
        <f>29.17</f>
        <v>29.17</v>
      </c>
      <c r="L116" s="4">
        <f t="shared" si="83"/>
        <v>85.929999999999993</v>
      </c>
      <c r="M116" s="5">
        <f t="shared" si="84"/>
        <v>3.9458347617415148</v>
      </c>
      <c r="N116" s="4">
        <f>94.44</f>
        <v>94.44</v>
      </c>
      <c r="O116" s="4">
        <f>29.17</f>
        <v>29.17</v>
      </c>
      <c r="P116" s="4">
        <f t="shared" si="85"/>
        <v>65.27</v>
      </c>
      <c r="Q116" s="5">
        <f t="shared" si="86"/>
        <v>3.2375728488172779</v>
      </c>
      <c r="R116" s="4">
        <f>60.42</f>
        <v>60.42</v>
      </c>
      <c r="S116" s="4">
        <f>29.17</f>
        <v>29.17</v>
      </c>
      <c r="T116" s="4">
        <f t="shared" si="87"/>
        <v>31.25</v>
      </c>
      <c r="U116" s="5">
        <f t="shared" si="88"/>
        <v>2.0713061364415495</v>
      </c>
      <c r="V116" s="4">
        <f>87.5</f>
        <v>87.5</v>
      </c>
      <c r="W116" s="4">
        <f>29.17</f>
        <v>29.17</v>
      </c>
      <c r="X116" s="4">
        <f t="shared" si="89"/>
        <v>58.33</v>
      </c>
      <c r="Y116" s="5">
        <f t="shared" si="90"/>
        <v>2.9996571820363385</v>
      </c>
      <c r="Z116" s="4">
        <f>7.77</f>
        <v>7.77</v>
      </c>
      <c r="AA116" s="4">
        <f>29.17</f>
        <v>29.17</v>
      </c>
      <c r="AB116" s="4">
        <f t="shared" si="91"/>
        <v>-21.400000000000002</v>
      </c>
      <c r="AC116" s="5">
        <f t="shared" si="92"/>
        <v>0.26636955776482685</v>
      </c>
      <c r="AD116" s="4">
        <f>-23.37</f>
        <v>-23.37</v>
      </c>
      <c r="AE116" s="4">
        <f>29.17</f>
        <v>29.17</v>
      </c>
      <c r="AF116" s="4">
        <f t="shared" si="93"/>
        <v>-52.540000000000006</v>
      </c>
      <c r="AG116" s="5">
        <f t="shared" si="94"/>
        <v>-0.80116558107644842</v>
      </c>
      <c r="AH116" s="4">
        <f t="shared" si="95"/>
        <v>419.37</v>
      </c>
      <c r="AI116" s="4">
        <f t="shared" si="96"/>
        <v>233.36000000000007</v>
      </c>
      <c r="AJ116" s="4">
        <f t="shared" si="97"/>
        <v>186.00999999999993</v>
      </c>
      <c r="AK116" s="5">
        <f t="shared" si="98"/>
        <v>1.7970946177579701</v>
      </c>
    </row>
    <row r="117" spans="1:37" x14ac:dyDescent="0.25">
      <c r="A117" s="2" t="s">
        <v>123</v>
      </c>
      <c r="B117" s="4">
        <f>0</f>
        <v>0</v>
      </c>
      <c r="C117" s="3"/>
      <c r="D117" s="4">
        <f t="shared" si="79"/>
        <v>0</v>
      </c>
      <c r="E117" s="5" t="str">
        <f t="shared" si="80"/>
        <v/>
      </c>
      <c r="F117" s="4">
        <f>0</f>
        <v>0</v>
      </c>
      <c r="G117" s="3"/>
      <c r="H117" s="4">
        <f t="shared" si="81"/>
        <v>0</v>
      </c>
      <c r="I117" s="5" t="str">
        <f t="shared" si="82"/>
        <v/>
      </c>
      <c r="J117" s="4">
        <f>0</f>
        <v>0</v>
      </c>
      <c r="K117" s="3"/>
      <c r="L117" s="4">
        <f t="shared" si="83"/>
        <v>0</v>
      </c>
      <c r="M117" s="5" t="str">
        <f t="shared" si="84"/>
        <v/>
      </c>
      <c r="N117" s="4">
        <f>0</f>
        <v>0</v>
      </c>
      <c r="O117" s="3"/>
      <c r="P117" s="4">
        <f t="shared" si="85"/>
        <v>0</v>
      </c>
      <c r="Q117" s="5" t="str">
        <f t="shared" si="86"/>
        <v/>
      </c>
      <c r="R117" s="4">
        <f>0</f>
        <v>0</v>
      </c>
      <c r="S117" s="3"/>
      <c r="T117" s="4">
        <f t="shared" si="87"/>
        <v>0</v>
      </c>
      <c r="U117" s="5" t="str">
        <f t="shared" si="88"/>
        <v/>
      </c>
      <c r="V117" s="4">
        <f>210.19</f>
        <v>210.19</v>
      </c>
      <c r="W117" s="3"/>
      <c r="X117" s="4">
        <f t="shared" si="89"/>
        <v>210.19</v>
      </c>
      <c r="Y117" s="5" t="str">
        <f t="shared" si="90"/>
        <v/>
      </c>
      <c r="Z117" s="4">
        <f>0</f>
        <v>0</v>
      </c>
      <c r="AA117" s="3"/>
      <c r="AB117" s="4">
        <f t="shared" si="91"/>
        <v>0</v>
      </c>
      <c r="AC117" s="5" t="str">
        <f t="shared" si="92"/>
        <v/>
      </c>
      <c r="AD117" s="4">
        <f>-210.19</f>
        <v>-210.19</v>
      </c>
      <c r="AE117" s="3"/>
      <c r="AF117" s="4">
        <f t="shared" si="93"/>
        <v>-210.19</v>
      </c>
      <c r="AG117" s="5" t="str">
        <f t="shared" si="94"/>
        <v/>
      </c>
      <c r="AH117" s="4">
        <f t="shared" si="95"/>
        <v>0</v>
      </c>
      <c r="AI117" s="4">
        <f t="shared" si="96"/>
        <v>0</v>
      </c>
      <c r="AJ117" s="4">
        <f t="shared" si="97"/>
        <v>0</v>
      </c>
      <c r="AK117" s="5" t="str">
        <f t="shared" si="98"/>
        <v/>
      </c>
    </row>
    <row r="118" spans="1:37" x14ac:dyDescent="0.25">
      <c r="A118" s="2" t="s">
        <v>124</v>
      </c>
      <c r="B118" s="6">
        <f>(((B114)+(B115))+(B116))+(B117)</f>
        <v>188.52</v>
      </c>
      <c r="C118" s="6">
        <f>(((C114)+(C115))+(C116))+(C117)</f>
        <v>83.34</v>
      </c>
      <c r="D118" s="6">
        <f t="shared" si="79"/>
        <v>105.18</v>
      </c>
      <c r="E118" s="7">
        <f t="shared" si="80"/>
        <v>2.2620590352771779</v>
      </c>
      <c r="F118" s="6">
        <f>(((F114)+(F115))+(F116))+(F117)</f>
        <v>32.950000000000003</v>
      </c>
      <c r="G118" s="6">
        <f>(((G114)+(G115))+(G116))+(G117)</f>
        <v>83.34</v>
      </c>
      <c r="H118" s="6">
        <f t="shared" si="81"/>
        <v>-50.39</v>
      </c>
      <c r="I118" s="7">
        <f t="shared" si="82"/>
        <v>0.39536837053035762</v>
      </c>
      <c r="J118" s="6">
        <f>(((J114)+(J115))+(J116))+(J117)</f>
        <v>328.86</v>
      </c>
      <c r="K118" s="6">
        <f>(((K114)+(K115))+(K116))+(K117)</f>
        <v>83.34</v>
      </c>
      <c r="L118" s="6">
        <f t="shared" si="83"/>
        <v>245.52</v>
      </c>
      <c r="M118" s="7">
        <f t="shared" si="84"/>
        <v>3.9460043196544277</v>
      </c>
      <c r="N118" s="6">
        <f>(((N114)+(N115))+(N116))+(N117)</f>
        <v>269.83</v>
      </c>
      <c r="O118" s="6">
        <f>(((O114)+(O115))+(O116))+(O117)</f>
        <v>83.34</v>
      </c>
      <c r="P118" s="6">
        <f t="shared" si="85"/>
        <v>186.48999999999998</v>
      </c>
      <c r="Q118" s="7">
        <f t="shared" si="86"/>
        <v>3.237700983921286</v>
      </c>
      <c r="R118" s="6">
        <f>(((R114)+(R115))+(R116))+(R117)</f>
        <v>172.64</v>
      </c>
      <c r="S118" s="6">
        <f>(((S114)+(S115))+(S116))+(S117)</f>
        <v>83.34</v>
      </c>
      <c r="T118" s="6">
        <f t="shared" si="87"/>
        <v>89.299999999999983</v>
      </c>
      <c r="U118" s="7">
        <f t="shared" si="88"/>
        <v>2.0715142788576912</v>
      </c>
      <c r="V118" s="6">
        <f>(((V114)+(V115))+(V116))+(V117)</f>
        <v>460.2</v>
      </c>
      <c r="W118" s="6">
        <f>(((W114)+(W115))+(W116))+(W117)</f>
        <v>83.34</v>
      </c>
      <c r="X118" s="6">
        <f t="shared" si="89"/>
        <v>376.86</v>
      </c>
      <c r="Y118" s="7">
        <f t="shared" si="90"/>
        <v>5.5219582433405323</v>
      </c>
      <c r="Z118" s="6">
        <f>(((Z114)+(Z115))+(Z116))+(Z117)</f>
        <v>22.189999999999998</v>
      </c>
      <c r="AA118" s="6">
        <f>(((AA114)+(AA115))+(AA116))+(AA117)</f>
        <v>83.34</v>
      </c>
      <c r="AB118" s="6">
        <f t="shared" si="91"/>
        <v>-61.150000000000006</v>
      </c>
      <c r="AC118" s="7">
        <f t="shared" si="92"/>
        <v>0.26625869930405566</v>
      </c>
      <c r="AD118" s="6">
        <f>(((AD114)+(AD115))+(AD116))+(AD117)</f>
        <v>-276.93</v>
      </c>
      <c r="AE118" s="6">
        <f>(((AE114)+(AE115))+(AE116))+(AE117)</f>
        <v>83.34</v>
      </c>
      <c r="AF118" s="6">
        <f t="shared" si="93"/>
        <v>-360.27</v>
      </c>
      <c r="AG118" s="7">
        <f t="shared" si="94"/>
        <v>-3.3228941684665227</v>
      </c>
      <c r="AH118" s="6">
        <f t="shared" si="95"/>
        <v>1198.26</v>
      </c>
      <c r="AI118" s="6">
        <f t="shared" si="96"/>
        <v>666.72000000000014</v>
      </c>
      <c r="AJ118" s="6">
        <f t="shared" si="97"/>
        <v>531.53999999999985</v>
      </c>
      <c r="AK118" s="7">
        <f t="shared" si="98"/>
        <v>1.7972462203023754</v>
      </c>
    </row>
    <row r="119" spans="1:37" x14ac:dyDescent="0.25">
      <c r="A119" s="2" t="s">
        <v>125</v>
      </c>
      <c r="B119" s="6">
        <f>((((((((((((((((((((B19)+(B24))+(B29))+(B34))+(B39))+(B44))+(B49))+(B54))+(B59))+(B64))+(B69))+(B74))+(B79))+(B84))+(B89))+(B94))+(B98))+(B103))+(B108))+(B113))+(B118)</f>
        <v>20857.250000000004</v>
      </c>
      <c r="C119" s="6">
        <f>((((((((((((((((((((C19)+(C24))+(C29))+(C34))+(C39))+(C44))+(C49))+(C54))+(C59))+(C64))+(C69))+(C74))+(C79))+(C84))+(C89))+(C94))+(C98))+(C103))+(C108))+(C113))+(C118)</f>
        <v>32207.31</v>
      </c>
      <c r="D119" s="6">
        <f t="shared" si="79"/>
        <v>-11350.059999999998</v>
      </c>
      <c r="E119" s="7">
        <f t="shared" si="80"/>
        <v>0.64759366740035107</v>
      </c>
      <c r="F119" s="6">
        <f>((((((((((((((((((((F19)+(F24))+(F29))+(F34))+(F39))+(F44))+(F49))+(F54))+(F59))+(F64))+(F69))+(F74))+(F79))+(F84))+(F89))+(F94))+(F98))+(F103))+(F108))+(F113))+(F118)</f>
        <v>22918.929999999997</v>
      </c>
      <c r="G119" s="6">
        <f>((((((((((((((((((((G19)+(G24))+(G29))+(G34))+(G39))+(G44))+(G49))+(G54))+(G59))+(G64))+(G69))+(G74))+(G79))+(G84))+(G89))+(G94))+(G98))+(G103))+(G108))+(G113))+(G118)</f>
        <v>32207.31</v>
      </c>
      <c r="H119" s="6">
        <f t="shared" si="81"/>
        <v>-9288.3800000000047</v>
      </c>
      <c r="I119" s="7">
        <f t="shared" si="82"/>
        <v>0.71160646449517195</v>
      </c>
      <c r="J119" s="6">
        <f>((((((((((((((((((((J19)+(J24))+(J29))+(J34))+(J39))+(J44))+(J49))+(J54))+(J59))+(J64))+(J69))+(J74))+(J79))+(J84))+(J89))+(J94))+(J98))+(J103))+(J108))+(J113))+(J118)</f>
        <v>31676.850000000006</v>
      </c>
      <c r="K119" s="6">
        <f>((((((((((((((((((((K19)+(K24))+(K29))+(K34))+(K39))+(K44))+(K49))+(K54))+(K59))+(K64))+(K69))+(K74))+(K79))+(K84))+(K89))+(K94))+(K98))+(K103))+(K108))+(K113))+(K118)</f>
        <v>32207.31</v>
      </c>
      <c r="L119" s="6">
        <f t="shared" si="83"/>
        <v>-530.45999999999549</v>
      </c>
      <c r="M119" s="7">
        <f t="shared" si="84"/>
        <v>0.98352982599291916</v>
      </c>
      <c r="N119" s="6">
        <f>((((((((((((((((((((N19)+(N24))+(N29))+(N34))+(N39))+(N44))+(N49))+(N54))+(N59))+(N64))+(N69))+(N74))+(N79))+(N84))+(N89))+(N94))+(N98))+(N103))+(N108))+(N113))+(N118)</f>
        <v>39376.97</v>
      </c>
      <c r="O119" s="6">
        <f>((((((((((((((((((((O19)+(O24))+(O29))+(O34))+(O39))+(O44))+(O49))+(O54))+(O59))+(O64))+(O69))+(O74))+(O79))+(O84))+(O89))+(O94))+(O98))+(O103))+(O108))+(O113))+(O118)</f>
        <v>32207.31</v>
      </c>
      <c r="P119" s="6">
        <f t="shared" si="85"/>
        <v>7169.66</v>
      </c>
      <c r="Q119" s="7">
        <f t="shared" si="86"/>
        <v>1.2226097118945978</v>
      </c>
      <c r="R119" s="6">
        <f>((((((((((((((((((((R19)+(R24))+(R29))+(R34))+(R39))+(R44))+(R49))+(R54))+(R59))+(R64))+(R69))+(R74))+(R79))+(R84))+(R89))+(R94))+(R98))+(R103))+(R108))+(R113))+(R118)</f>
        <v>26179.800000000003</v>
      </c>
      <c r="S119" s="6">
        <f>((((((((((((((((((((S19)+(S24))+(S29))+(S34))+(S39))+(S44))+(S49))+(S54))+(S59))+(S64))+(S69))+(S74))+(S79))+(S84))+(S89))+(S94))+(S98))+(S103))+(S108))+(S113))+(S118)</f>
        <v>32207.31</v>
      </c>
      <c r="T119" s="6">
        <f t="shared" si="87"/>
        <v>-6027.5099999999984</v>
      </c>
      <c r="U119" s="7">
        <f t="shared" si="88"/>
        <v>0.81285273436372063</v>
      </c>
      <c r="V119" s="6">
        <f>((((((((((((((((((((V19)+(V24))+(V29))+(V34))+(V39))+(V44))+(V49))+(V54))+(V59))+(V64))+(V69))+(V74))+(V79))+(V84))+(V89))+(V94))+(V98))+(V103))+(V108))+(V113))+(V118)</f>
        <v>41523.419999999991</v>
      </c>
      <c r="W119" s="6">
        <f>((((((((((((((((((((W19)+(W24))+(W29))+(W34))+(W39))+(W44))+(W49))+(W54))+(W59))+(W64))+(W69))+(W74))+(W79))+(W84))+(W89))+(W94))+(W98))+(W103))+(W108))+(W113))+(W118)</f>
        <v>32207.31</v>
      </c>
      <c r="X119" s="6">
        <f t="shared" si="89"/>
        <v>9316.1099999999897</v>
      </c>
      <c r="Y119" s="7">
        <f t="shared" si="90"/>
        <v>1.2892545201694892</v>
      </c>
      <c r="Z119" s="6">
        <f>((((((((((((((((((((Z19)+(Z24))+(Z29))+(Z34))+(Z39))+(Z44))+(Z49))+(Z54))+(Z59))+(Z64))+(Z69))+(Z74))+(Z79))+(Z84))+(Z89))+(Z94))+(Z98))+(Z103))+(Z108))+(Z113))+(Z118)</f>
        <v>27432.94</v>
      </c>
      <c r="AA119" s="6">
        <f>((((((((((((((((((((AA19)+(AA24))+(AA29))+(AA34))+(AA39))+(AA44))+(AA49))+(AA54))+(AA59))+(AA64))+(AA69))+(AA74))+(AA79))+(AA84))+(AA89))+(AA94))+(AA98))+(AA103))+(AA108))+(AA113))+(AA118)</f>
        <v>32207.31</v>
      </c>
      <c r="AB119" s="6">
        <f t="shared" si="91"/>
        <v>-4774.3700000000026</v>
      </c>
      <c r="AC119" s="7">
        <f t="shared" si="92"/>
        <v>0.85176129270032164</v>
      </c>
      <c r="AD119" s="6">
        <f>((((((((((((((((((((AD19)+(AD24))+(AD29))+(AD34))+(AD39))+(AD44))+(AD49))+(AD54))+(AD59))+(AD64))+(AD69))+(AD74))+(AD79))+(AD84))+(AD89))+(AD94))+(AD98))+(AD103))+(AD108))+(AD113))+(AD118)</f>
        <v>27722</v>
      </c>
      <c r="AE119" s="6">
        <f>((((((((((((((((((((AE19)+(AE24))+(AE29))+(AE34))+(AE39))+(AE44))+(AE49))+(AE54))+(AE59))+(AE64))+(AE69))+(AE74))+(AE79))+(AE84))+(AE89))+(AE94))+(AE98))+(AE103))+(AE108))+(AE113))+(AE118)</f>
        <v>32207.31</v>
      </c>
      <c r="AF119" s="6">
        <f t="shared" si="93"/>
        <v>-4485.3100000000013</v>
      </c>
      <c r="AG119" s="7">
        <f t="shared" si="94"/>
        <v>0.86073627384590634</v>
      </c>
      <c r="AH119" s="6">
        <f t="shared" si="95"/>
        <v>237688.15999999997</v>
      </c>
      <c r="AI119" s="6">
        <f t="shared" si="96"/>
        <v>257658.48</v>
      </c>
      <c r="AJ119" s="6">
        <f t="shared" si="97"/>
        <v>-19970.320000000036</v>
      </c>
      <c r="AK119" s="7">
        <f t="shared" si="98"/>
        <v>0.92249306135780962</v>
      </c>
    </row>
    <row r="120" spans="1:37" x14ac:dyDescent="0.25">
      <c r="A120" s="2" t="s">
        <v>126</v>
      </c>
      <c r="B120" s="6">
        <f>(B13)-(B119)</f>
        <v>0</v>
      </c>
      <c r="C120" s="6">
        <f>(C13)-(C119)</f>
        <v>1666.6699999999946</v>
      </c>
      <c r="D120" s="6">
        <f t="shared" si="79"/>
        <v>-1666.6699999999946</v>
      </c>
      <c r="E120" s="7">
        <f t="shared" si="80"/>
        <v>0</v>
      </c>
      <c r="F120" s="6">
        <f>(F13)-(F119)</f>
        <v>324.94000000000597</v>
      </c>
      <c r="G120" s="6">
        <f>(G13)-(G119)</f>
        <v>1666.6699999999946</v>
      </c>
      <c r="H120" s="6">
        <f t="shared" si="81"/>
        <v>-1341.7299999999886</v>
      </c>
      <c r="I120" s="7">
        <f t="shared" si="82"/>
        <v>0.19496361007278407</v>
      </c>
      <c r="J120" s="6">
        <f>(J13)-(J119)</f>
        <v>1190.4599999999919</v>
      </c>
      <c r="K120" s="6">
        <f>(K13)-(K119)</f>
        <v>1666.6699999999946</v>
      </c>
      <c r="L120" s="6">
        <f t="shared" si="83"/>
        <v>-476.21000000000276</v>
      </c>
      <c r="M120" s="7">
        <f t="shared" si="84"/>
        <v>0.71427457145085449</v>
      </c>
      <c r="N120" s="6">
        <f>(N13)-(N119)</f>
        <v>146</v>
      </c>
      <c r="O120" s="6">
        <f>(O13)-(O119)</f>
        <v>1666.6699999999946</v>
      </c>
      <c r="P120" s="6">
        <f t="shared" si="85"/>
        <v>-1520.6699999999946</v>
      </c>
      <c r="Q120" s="7">
        <f t="shared" si="86"/>
        <v>8.7599824800350681E-2</v>
      </c>
      <c r="R120" s="6">
        <f>(R13)-(R119)</f>
        <v>-32.830000000001746</v>
      </c>
      <c r="S120" s="6">
        <f>(S13)-(S119)</f>
        <v>1666.6699999999946</v>
      </c>
      <c r="T120" s="6">
        <f t="shared" si="87"/>
        <v>-1699.4999999999964</v>
      </c>
      <c r="U120" s="7">
        <f t="shared" si="88"/>
        <v>-1.9697960604079905E-2</v>
      </c>
      <c r="V120" s="6">
        <f>(V13)-(V119)</f>
        <v>-1871.5899999999892</v>
      </c>
      <c r="W120" s="6">
        <f>(W13)-(W119)</f>
        <v>1666.6699999999946</v>
      </c>
      <c r="X120" s="6">
        <f t="shared" si="89"/>
        <v>-3538.2599999999838</v>
      </c>
      <c r="Y120" s="7">
        <f t="shared" si="90"/>
        <v>-1.1229517540964891</v>
      </c>
      <c r="Z120" s="6">
        <f>(Z13)-(Z119)</f>
        <v>2.0000000000436557E-2</v>
      </c>
      <c r="AA120" s="6">
        <f>(AA13)-(AA119)</f>
        <v>1666.6699999999946</v>
      </c>
      <c r="AB120" s="6">
        <f t="shared" si="91"/>
        <v>-1666.6499999999942</v>
      </c>
      <c r="AC120" s="7">
        <f t="shared" si="92"/>
        <v>1.1999976000309973E-5</v>
      </c>
      <c r="AD120" s="6">
        <f>(AD13)-(AD119)</f>
        <v>276.93000000000029</v>
      </c>
      <c r="AE120" s="6">
        <f>(AE13)-(AE119)</f>
        <v>1666.6699999999946</v>
      </c>
      <c r="AF120" s="6">
        <f t="shared" si="93"/>
        <v>-1389.7399999999943</v>
      </c>
      <c r="AG120" s="7">
        <f t="shared" si="94"/>
        <v>0.16615766768466533</v>
      </c>
      <c r="AH120" s="6">
        <f t="shared" si="95"/>
        <v>33.930000000007567</v>
      </c>
      <c r="AI120" s="6">
        <f t="shared" si="96"/>
        <v>13333.359999999957</v>
      </c>
      <c r="AJ120" s="6">
        <f t="shared" si="97"/>
        <v>-13299.429999999949</v>
      </c>
      <c r="AK120" s="7">
        <f t="shared" si="98"/>
        <v>2.5447449105107547E-3</v>
      </c>
    </row>
    <row r="121" spans="1:37" x14ac:dyDescent="0.25">
      <c r="A121" s="2" t="s">
        <v>127</v>
      </c>
      <c r="B121" s="8">
        <f>(B120)+(0)</f>
        <v>0</v>
      </c>
      <c r="C121" s="8">
        <f>(C120)+(0)</f>
        <v>1666.6699999999946</v>
      </c>
      <c r="D121" s="8">
        <f t="shared" si="79"/>
        <v>-1666.6699999999946</v>
      </c>
      <c r="E121" s="9">
        <f t="shared" si="80"/>
        <v>0</v>
      </c>
      <c r="F121" s="8">
        <f>(F120)+(0)</f>
        <v>324.94000000000597</v>
      </c>
      <c r="G121" s="8">
        <f>(G120)+(0)</f>
        <v>1666.6699999999946</v>
      </c>
      <c r="H121" s="8">
        <f t="shared" si="81"/>
        <v>-1341.7299999999886</v>
      </c>
      <c r="I121" s="9">
        <f t="shared" si="82"/>
        <v>0.19496361007278407</v>
      </c>
      <c r="J121" s="8">
        <f>(J120)+(0)</f>
        <v>1190.4599999999919</v>
      </c>
      <c r="K121" s="8">
        <f>(K120)+(0)</f>
        <v>1666.6699999999946</v>
      </c>
      <c r="L121" s="8">
        <f t="shared" si="83"/>
        <v>-476.21000000000276</v>
      </c>
      <c r="M121" s="9">
        <f t="shared" si="84"/>
        <v>0.71427457145085449</v>
      </c>
      <c r="N121" s="8">
        <f>(N120)+(0)</f>
        <v>146</v>
      </c>
      <c r="O121" s="8">
        <f>(O120)+(0)</f>
        <v>1666.6699999999946</v>
      </c>
      <c r="P121" s="8">
        <f t="shared" si="85"/>
        <v>-1520.6699999999946</v>
      </c>
      <c r="Q121" s="9">
        <f t="shared" si="86"/>
        <v>8.7599824800350681E-2</v>
      </c>
      <c r="R121" s="8">
        <f>(R120)+(0)</f>
        <v>-32.830000000001746</v>
      </c>
      <c r="S121" s="8">
        <f>(S120)+(0)</f>
        <v>1666.6699999999946</v>
      </c>
      <c r="T121" s="8">
        <f t="shared" si="87"/>
        <v>-1699.4999999999964</v>
      </c>
      <c r="U121" s="9">
        <f t="shared" si="88"/>
        <v>-1.9697960604079905E-2</v>
      </c>
      <c r="V121" s="8">
        <f>(V120)+(0)</f>
        <v>-1871.5899999999892</v>
      </c>
      <c r="W121" s="8">
        <f>(W120)+(0)</f>
        <v>1666.6699999999946</v>
      </c>
      <c r="X121" s="8">
        <f t="shared" si="89"/>
        <v>-3538.2599999999838</v>
      </c>
      <c r="Y121" s="9">
        <f t="shared" si="90"/>
        <v>-1.1229517540964891</v>
      </c>
      <c r="Z121" s="8">
        <f>(Z120)+(0)</f>
        <v>2.0000000000436557E-2</v>
      </c>
      <c r="AA121" s="8">
        <f>(AA120)+(0)</f>
        <v>1666.6699999999946</v>
      </c>
      <c r="AB121" s="8">
        <f t="shared" si="91"/>
        <v>-1666.6499999999942</v>
      </c>
      <c r="AC121" s="9">
        <f t="shared" si="92"/>
        <v>1.1999976000309973E-5</v>
      </c>
      <c r="AD121" s="8">
        <f>(AD120)+(0)</f>
        <v>276.93000000000029</v>
      </c>
      <c r="AE121" s="8">
        <f>(AE120)+(0)</f>
        <v>1666.6699999999946</v>
      </c>
      <c r="AF121" s="8">
        <f t="shared" si="93"/>
        <v>-1389.7399999999943</v>
      </c>
      <c r="AG121" s="9">
        <f t="shared" si="94"/>
        <v>0.16615766768466533</v>
      </c>
      <c r="AH121" s="8">
        <f t="shared" si="95"/>
        <v>33.930000000007567</v>
      </c>
      <c r="AI121" s="8">
        <f t="shared" si="96"/>
        <v>13333.359999999957</v>
      </c>
      <c r="AJ121" s="8">
        <f t="shared" si="97"/>
        <v>-13299.429999999949</v>
      </c>
      <c r="AK121" s="9">
        <f t="shared" si="98"/>
        <v>2.5447449105107547E-3</v>
      </c>
    </row>
    <row r="122" spans="1:37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5" spans="1:37" x14ac:dyDescent="0.25">
      <c r="A125" s="10" t="s">
        <v>128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</sheetData>
  <mergeCells count="13">
    <mergeCell ref="A1:AK1"/>
    <mergeCell ref="A2:AK2"/>
    <mergeCell ref="A3:AK3"/>
    <mergeCell ref="V5:Y5"/>
    <mergeCell ref="Z5:AC5"/>
    <mergeCell ref="AD5:AG5"/>
    <mergeCell ref="AH5:AK5"/>
    <mergeCell ref="A125:AK125"/>
    <mergeCell ref="B5:E5"/>
    <mergeCell ref="F5:I5"/>
    <mergeCell ref="J5:M5"/>
    <mergeCell ref="N5:Q5"/>
    <mergeCell ref="R5:U5"/>
  </mergeCells>
  <pageMargins left="0.2" right="0.2" top="0.25" bottom="0.25" header="0.3" footer="0.3"/>
  <pageSetup scale="69" fitToWidth="2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brad Jacokes</cp:lastModifiedBy>
  <cp:lastPrinted>2023-06-02T17:50:30Z</cp:lastPrinted>
  <dcterms:created xsi:type="dcterms:W3CDTF">2023-06-02T17:42:40Z</dcterms:created>
  <dcterms:modified xsi:type="dcterms:W3CDTF">2023-06-02T17:50:40Z</dcterms:modified>
</cp:coreProperties>
</file>